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граммное обеспечение ТЕСТЫ и др\КомПродСервис\МУЛЬТИСКРИН\Верифицированные таблицы\Мультискрин микотоксины\"/>
    </mc:Choice>
  </mc:AlternateContent>
  <xr:revisionPtr revIDLastSave="0" documentId="13_ncr:1_{422E688C-7979-400A-89C1-3251C3AFF0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4.02.20 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28" i="1"/>
  <c r="H27" i="1"/>
  <c r="J41" i="1" l="1"/>
  <c r="F29" i="1" l="1"/>
  <c r="F31" i="1"/>
  <c r="F33" i="1"/>
  <c r="F35" i="1"/>
  <c r="F37" i="1"/>
  <c r="F39" i="1"/>
  <c r="F41" i="1"/>
  <c r="J42" i="1" s="1"/>
  <c r="K41" i="1" s="1"/>
  <c r="F43" i="1"/>
  <c r="F45" i="1"/>
  <c r="F47" i="1"/>
  <c r="F49" i="1"/>
  <c r="F51" i="1"/>
  <c r="F53" i="1"/>
  <c r="F55" i="1"/>
  <c r="F57" i="1"/>
  <c r="F59" i="1"/>
  <c r="F61" i="1"/>
  <c r="F63" i="1"/>
  <c r="F65" i="1"/>
  <c r="F27" i="1"/>
  <c r="K42" i="1" l="1"/>
  <c r="J28" i="1"/>
  <c r="J27" i="1"/>
  <c r="J59" i="1"/>
  <c r="J60" i="1"/>
  <c r="J52" i="1"/>
  <c r="J51" i="1"/>
  <c r="J43" i="1"/>
  <c r="J44" i="1"/>
  <c r="J57" i="1"/>
  <c r="J58" i="1"/>
  <c r="J63" i="1"/>
  <c r="J64" i="1"/>
  <c r="J56" i="1"/>
  <c r="J55" i="1"/>
  <c r="J48" i="1"/>
  <c r="J47" i="1"/>
  <c r="J62" i="1"/>
  <c r="J61" i="1"/>
  <c r="J54" i="1"/>
  <c r="J53" i="1"/>
  <c r="J46" i="1"/>
  <c r="J45" i="1"/>
  <c r="J65" i="1"/>
  <c r="J66" i="1"/>
  <c r="I27" i="1"/>
  <c r="I31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37" i="1"/>
  <c r="I35" i="1"/>
  <c r="I33" i="1"/>
  <c r="I29" i="1"/>
  <c r="G25" i="1"/>
  <c r="G24" i="1"/>
  <c r="G23" i="1"/>
  <c r="G22" i="1"/>
  <c r="G21" i="1"/>
  <c r="H14" i="1"/>
  <c r="G14" i="1"/>
  <c r="F14" i="1"/>
  <c r="I14" i="1" s="1"/>
  <c r="H13" i="1"/>
  <c r="G13" i="1"/>
  <c r="F13" i="1"/>
  <c r="I13" i="1" s="1"/>
  <c r="H12" i="1"/>
  <c r="G12" i="1"/>
  <c r="F12" i="1"/>
  <c r="I12" i="1" s="1"/>
  <c r="H11" i="1"/>
  <c r="G11" i="1"/>
  <c r="F11" i="1"/>
  <c r="I11" i="1" s="1"/>
  <c r="G10" i="1"/>
  <c r="F10" i="1"/>
  <c r="K66" i="1" l="1"/>
  <c r="K65" i="1"/>
  <c r="K60" i="1"/>
  <c r="K59" i="1"/>
  <c r="K46" i="1"/>
  <c r="K45" i="1"/>
  <c r="K62" i="1"/>
  <c r="K61" i="1"/>
  <c r="K55" i="1"/>
  <c r="K56" i="1"/>
  <c r="K52" i="1"/>
  <c r="K51" i="1"/>
  <c r="K63" i="1"/>
  <c r="K64" i="1"/>
  <c r="K44" i="1"/>
  <c r="K43" i="1"/>
  <c r="K58" i="1"/>
  <c r="K57" i="1"/>
  <c r="K54" i="1"/>
  <c r="K53" i="1"/>
  <c r="K47" i="1"/>
  <c r="K48" i="1"/>
  <c r="K28" i="1"/>
  <c r="H16" i="1"/>
  <c r="J39" i="1"/>
  <c r="I28" i="1"/>
  <c r="J32" i="1"/>
  <c r="J36" i="1"/>
  <c r="J29" i="1"/>
  <c r="J33" i="1"/>
  <c r="J37" i="1"/>
  <c r="J49" i="1"/>
  <c r="J30" i="1"/>
  <c r="J38" i="1"/>
  <c r="J50" i="1"/>
  <c r="J31" i="1"/>
  <c r="J35" i="1"/>
  <c r="J40" i="1"/>
  <c r="H22" i="1"/>
  <c r="J22" i="1" s="1"/>
  <c r="M22" i="1" s="1"/>
  <c r="H23" i="1"/>
  <c r="J23" i="1" s="1"/>
  <c r="M23" i="1" s="1"/>
  <c r="I42" i="1"/>
  <c r="I44" i="1"/>
  <c r="I46" i="1"/>
  <c r="I48" i="1"/>
  <c r="I52" i="1"/>
  <c r="I54" i="1"/>
  <c r="I56" i="1"/>
  <c r="I58" i="1"/>
  <c r="I60" i="1"/>
  <c r="I62" i="1"/>
  <c r="I64" i="1"/>
  <c r="I66" i="1"/>
  <c r="H24" i="1"/>
  <c r="J24" i="1" s="1"/>
  <c r="M24" i="1" s="1"/>
  <c r="H25" i="1"/>
  <c r="J25" i="1" s="1"/>
  <c r="M25" i="1" s="1"/>
  <c r="K50" i="1" l="1"/>
  <c r="K49" i="1"/>
  <c r="K38" i="1"/>
  <c r="K37" i="1"/>
  <c r="K32" i="1"/>
  <c r="K31" i="1"/>
  <c r="K35" i="1"/>
  <c r="K36" i="1"/>
  <c r="K30" i="1"/>
  <c r="K29" i="1"/>
  <c r="K39" i="1"/>
  <c r="K40" i="1"/>
  <c r="I50" i="1"/>
  <c r="I40" i="1"/>
  <c r="I38" i="1"/>
  <c r="I36" i="1"/>
  <c r="I34" i="1"/>
  <c r="J34" i="1"/>
  <c r="M33" i="1" s="1"/>
  <c r="I30" i="1"/>
  <c r="M63" i="1"/>
  <c r="M59" i="1"/>
  <c r="M51" i="1"/>
  <c r="M47" i="1"/>
  <c r="M39" i="1"/>
  <c r="L39" i="1" s="1"/>
  <c r="M35" i="1"/>
  <c r="M55" i="1"/>
  <c r="M43" i="1"/>
  <c r="M49" i="1"/>
  <c r="M45" i="1"/>
  <c r="M41" i="1"/>
  <c r="L41" i="1" s="1"/>
  <c r="M37" i="1"/>
  <c r="M27" i="1"/>
  <c r="L27" i="1" s="1"/>
  <c r="M29" i="1"/>
  <c r="M65" i="1"/>
  <c r="M31" i="1"/>
  <c r="I32" i="1"/>
  <c r="N51" i="1" l="1"/>
  <c r="L51" i="1"/>
  <c r="N45" i="1"/>
  <c r="L45" i="1"/>
  <c r="N35" i="1"/>
  <c r="L35" i="1"/>
  <c r="N59" i="1"/>
  <c r="L59" i="1"/>
  <c r="N65" i="1"/>
  <c r="L65" i="1"/>
  <c r="N55" i="1"/>
  <c r="L55" i="1"/>
  <c r="N49" i="1"/>
  <c r="L49" i="1"/>
  <c r="N63" i="1"/>
  <c r="L63" i="1"/>
  <c r="K33" i="1"/>
  <c r="N33" i="1"/>
  <c r="N31" i="1"/>
  <c r="L31" i="1"/>
  <c r="N37" i="1"/>
  <c r="L37" i="1"/>
  <c r="N43" i="1"/>
  <c r="L43" i="1"/>
  <c r="N47" i="1"/>
  <c r="L47" i="1"/>
  <c r="K34" i="1"/>
  <c r="L33" i="1" s="1"/>
  <c r="N29" i="1"/>
  <c r="L29" i="1"/>
  <c r="N41" i="1"/>
  <c r="N39" i="1"/>
  <c r="M53" i="1"/>
  <c r="M57" i="1"/>
  <c r="M61" i="1"/>
  <c r="N27" i="1"/>
  <c r="K27" i="1"/>
  <c r="N61" i="1" l="1"/>
  <c r="L61" i="1"/>
  <c r="N57" i="1"/>
  <c r="L57" i="1"/>
  <c r="N53" i="1"/>
  <c r="L53" i="1"/>
</calcChain>
</file>

<file path=xl/sharedStrings.xml><?xml version="1.0" encoding="utf-8"?>
<sst xmlns="http://schemas.openxmlformats.org/spreadsheetml/2006/main" count="62" uniqueCount="46">
  <si>
    <t>Продукт</t>
  </si>
  <si>
    <t>Исполнитель</t>
  </si>
  <si>
    <t>Дата:</t>
  </si>
  <si>
    <t>№ партии</t>
  </si>
  <si>
    <t>хлебобулочные изделия</t>
  </si>
  <si>
    <t>Раздел I: Градуировочный график</t>
  </si>
  <si>
    <t>макаронные изделия</t>
  </si>
  <si>
    <t>Градуировочный раствор</t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</si>
  <si>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i</t>
    </r>
  </si>
  <si>
    <r>
      <t>B</t>
    </r>
    <r>
      <rPr>
        <b/>
        <vertAlign val="subscript"/>
        <sz val="10"/>
        <rFont val="Arial"/>
        <family val="2"/>
        <charset val="204"/>
      </rPr>
      <t>i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</si>
  <si>
    <t>К.В.</t>
  </si>
  <si>
    <r>
      <t>lgC</t>
    </r>
    <r>
      <rPr>
        <b/>
        <vertAlign val="subscript"/>
        <sz val="10"/>
        <rFont val="Arial"/>
        <family val="2"/>
        <charset val="204"/>
      </rPr>
      <t>i</t>
    </r>
  </si>
  <si>
    <r>
      <t xml:space="preserve">log </t>
    </r>
    <r>
      <rPr>
        <b/>
        <i/>
        <sz val="10"/>
        <rFont val="Arial"/>
        <family val="2"/>
        <charset val="204"/>
      </rPr>
      <t>it</t>
    </r>
    <r>
      <rPr>
        <b/>
        <sz val="10"/>
        <rFont val="Arial"/>
        <family val="2"/>
        <charset val="204"/>
      </rPr>
      <t xml:space="preserve"> (B</t>
    </r>
    <r>
      <rPr>
        <b/>
        <vertAlign val="subscript"/>
        <sz val="10"/>
        <rFont val="Arial"/>
        <family val="2"/>
        <charset val="204"/>
      </rPr>
      <t>i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  <r>
      <rPr>
        <b/>
        <sz val="10"/>
        <rFont val="Arial"/>
        <family val="2"/>
        <charset val="204"/>
      </rPr>
      <t>)</t>
    </r>
  </si>
  <si>
    <r>
      <t>С</t>
    </r>
    <r>
      <rPr>
        <b/>
        <vertAlign val="subscript"/>
        <sz val="10"/>
        <rFont val="Arial"/>
        <family val="2"/>
        <charset val="204"/>
      </rPr>
      <t>0</t>
    </r>
  </si>
  <si>
    <t>мкг/кг</t>
  </si>
  <si>
    <r>
      <t>С</t>
    </r>
    <r>
      <rPr>
        <b/>
        <vertAlign val="subscript"/>
        <sz val="10"/>
        <rFont val="Arial"/>
        <family val="2"/>
        <charset val="204"/>
      </rPr>
      <t>1</t>
    </r>
  </si>
  <si>
    <r>
      <t>С</t>
    </r>
    <r>
      <rPr>
        <b/>
        <vertAlign val="subscript"/>
        <sz val="10"/>
        <rFont val="Arial"/>
        <family val="2"/>
        <charset val="204"/>
      </rPr>
      <t>2</t>
    </r>
    <r>
      <rPr>
        <sz val="11"/>
        <color indexed="8"/>
        <rFont val="Calibri"/>
        <family val="2"/>
        <charset val="204"/>
      </rPr>
      <t/>
    </r>
  </si>
  <si>
    <t>корм.продукция пивоваренной промышленности</t>
  </si>
  <si>
    <r>
      <t>С</t>
    </r>
    <r>
      <rPr>
        <b/>
        <vertAlign val="subscript"/>
        <sz val="10"/>
        <rFont val="Arial"/>
        <family val="2"/>
        <charset val="204"/>
      </rPr>
      <t>3</t>
    </r>
    <r>
      <rPr>
        <sz val="11"/>
        <color indexed="8"/>
        <rFont val="Calibri"/>
        <family val="2"/>
        <charset val="204"/>
      </rPr>
      <t/>
    </r>
  </si>
  <si>
    <t>корм.продукция крахмалопаточной промышленности</t>
  </si>
  <si>
    <r>
      <t>С</t>
    </r>
    <r>
      <rPr>
        <b/>
        <vertAlign val="subscript"/>
        <sz val="10"/>
        <rFont val="Arial"/>
        <family val="2"/>
        <charset val="204"/>
      </rPr>
      <t>4</t>
    </r>
  </si>
  <si>
    <t>корм.продукция спиртового производства</t>
  </si>
  <si>
    <t>Раздел II: Расчет массовой доли охратоксина А</t>
  </si>
  <si>
    <t>№</t>
  </si>
  <si>
    <t>Наименование образца</t>
  </si>
  <si>
    <t>Группа продуктов</t>
  </si>
  <si>
    <t>Фактор разведения</t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</si>
  <si>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p</t>
    </r>
  </si>
  <si>
    <r>
      <t xml:space="preserve">log </t>
    </r>
    <r>
      <rPr>
        <b/>
        <i/>
        <sz val="10"/>
        <rFont val="Arial"/>
        <family val="2"/>
        <charset val="204"/>
      </rPr>
      <t>it</t>
    </r>
    <r>
      <rPr>
        <b/>
        <sz val="10"/>
        <rFont val="Arial"/>
        <family val="2"/>
        <charset val="204"/>
      </rPr>
      <t xml:space="preserve"> (B</t>
    </r>
    <r>
      <rPr>
        <b/>
        <vertAlign val="subscript"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  <r>
      <rPr>
        <b/>
        <sz val="10"/>
        <rFont val="Arial"/>
        <family val="2"/>
        <charset val="204"/>
      </rPr>
      <t>)</t>
    </r>
  </si>
  <si>
    <r>
      <t>C</t>
    </r>
    <r>
      <rPr>
        <b/>
        <vertAlign val="subscript"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, мкг/кг</t>
    </r>
  </si>
  <si>
    <t>Оценка прием-
лемости в условиях повторяемости</t>
  </si>
  <si>
    <t>Примечания</t>
  </si>
  <si>
    <r>
      <rPr>
        <b/>
        <sz val="11"/>
        <color indexed="8"/>
        <rFont val="Arial"/>
        <family val="2"/>
        <charset val="204"/>
      </rPr>
      <t>Техническая поддержка: 
+375 (17) 336-50-54
+7 (499) 704-05-50
support@komprod.com</t>
    </r>
    <r>
      <rPr>
        <sz val="11"/>
        <color indexed="8"/>
        <rFont val="Arial"/>
        <family val="2"/>
        <charset val="204"/>
      </rPr>
      <t xml:space="preserve">
</t>
    </r>
  </si>
  <si>
    <t>корма</t>
  </si>
  <si>
    <t>зерновые, зерно-бобовые</t>
  </si>
  <si>
    <t>зеленые корма</t>
  </si>
  <si>
    <t>отруби, жмых, шрот</t>
  </si>
  <si>
    <t>глютены</t>
  </si>
  <si>
    <r>
      <t xml:space="preserve">Показатель точности, </t>
    </r>
    <r>
      <rPr>
        <sz val="11"/>
        <color theme="1"/>
        <rFont val="Calibri"/>
        <family val="2"/>
        <charset val="204"/>
      </rPr>
      <t>δ</t>
    </r>
  </si>
  <si>
    <t>Коэффициент корреляции, r</t>
  </si>
  <si>
    <t>вино, сок, пиво</t>
  </si>
  <si>
    <t>сухофрукты</t>
  </si>
  <si>
    <t xml:space="preserve">кофе </t>
  </si>
  <si>
    <r>
      <t>C</t>
    </r>
    <r>
      <rPr>
        <b/>
        <vertAlign val="subscript"/>
        <sz val="10"/>
        <rFont val="Arial"/>
        <family val="2"/>
        <charset val="204"/>
      </rPr>
      <t>p</t>
    </r>
    <r>
      <rPr>
        <b/>
        <sz val="10"/>
        <rFont val="Arial"/>
        <family val="2"/>
        <charset val="204"/>
      </rPr>
      <t>±</t>
    </r>
    <r>
      <rPr>
        <b/>
        <sz val="10"/>
        <rFont val="Calibri"/>
        <family val="2"/>
        <charset val="204"/>
      </rPr>
      <t>δ</t>
    </r>
    <r>
      <rPr>
        <b/>
        <sz val="10"/>
        <rFont val="Arial"/>
        <family val="2"/>
        <charset val="204"/>
      </rPr>
      <t>, мкг/кг</t>
    </r>
  </si>
  <si>
    <t>Предел повторяемости</t>
  </si>
  <si>
    <t>Определение охратоксина А                                                                                                                             Набор "МУЛЬТИСКРИН®ОХРАТОКСИН А" (2,0- 40,0 мкг/кг)                                                                           в соответствии с МУК К001-23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</si>
</sst>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%"/>
    <numFmt numFmtId="167" formatCode="0.0000"/>
    <numFmt numFmtId="168" formatCode="\±0.0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vertAlign val="subscript"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9" tint="0.79998168889431442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07">
    <xf numFmtId="0" fontId="0" fillId="0" borderId="0" xfId="0"/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Fill="1" applyBorder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6" xfId="0" applyFont="1" applyBorder="1"/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/>
    <xf numFmtId="0" fontId="3" fillId="0" borderId="0" xfId="0" applyFont="1" applyBorder="1" applyProtection="1">
      <protection hidden="1"/>
    </xf>
    <xf numFmtId="0" fontId="0" fillId="0" borderId="0" xfId="0" applyFont="1"/>
    <xf numFmtId="0" fontId="2" fillId="0" borderId="7" xfId="0" applyFont="1" applyBorder="1" applyAlignment="1" applyProtection="1">
      <alignment vertical="center"/>
      <protection hidden="1"/>
    </xf>
    <xf numFmtId="164" fontId="2" fillId="0" borderId="8" xfId="0" applyNumberFormat="1" applyFont="1" applyBorder="1" applyAlignment="1" applyProtection="1">
      <alignment horizontal="right" vertical="center"/>
      <protection hidden="1"/>
    </xf>
    <xf numFmtId="165" fontId="2" fillId="0" borderId="9" xfId="0" applyNumberFormat="1" applyFont="1" applyFill="1" applyBorder="1" applyAlignment="1" applyProtection="1">
      <alignment horizontal="left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locked="0" hidden="1"/>
    </xf>
    <xf numFmtId="166" fontId="3" fillId="0" borderId="1" xfId="0" applyNumberFormat="1" applyFont="1" applyBorder="1" applyAlignment="1" applyProtection="1">
      <alignment horizontal="center" vertical="center"/>
      <protection hidden="1"/>
    </xf>
    <xf numFmtId="10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2" fillId="0" borderId="11" xfId="0" applyNumberFormat="1" applyFont="1" applyBorder="1" applyAlignment="1" applyProtection="1">
      <alignment horizontal="right" vertical="center"/>
      <protection hidden="1"/>
    </xf>
    <xf numFmtId="165" fontId="3" fillId="0" borderId="0" xfId="0" applyNumberFormat="1" applyFont="1" applyFill="1" applyBorder="1" applyAlignment="1" applyProtection="1">
      <alignment horizontal="center"/>
      <protection hidden="1"/>
    </xf>
    <xf numFmtId="2" fontId="3" fillId="0" borderId="0" xfId="0" applyNumberFormat="1" applyFont="1" applyFill="1" applyBorder="1" applyAlignment="1" applyProtection="1">
      <alignment horizontal="center"/>
      <protection hidden="1"/>
    </xf>
    <xf numFmtId="165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10" fontId="3" fillId="0" borderId="0" xfId="0" applyNumberFormat="1" applyFont="1" applyProtection="1"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5" fontId="3" fillId="0" borderId="1" xfId="0" applyNumberFormat="1" applyFont="1" applyFill="1" applyBorder="1" applyAlignment="1" applyProtection="1">
      <alignment horizontal="center"/>
      <protection hidden="1"/>
    </xf>
    <xf numFmtId="2" fontId="3" fillId="0" borderId="1" xfId="0" applyNumberFormat="1" applyFont="1" applyFill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2" fontId="3" fillId="0" borderId="15" xfId="0" applyNumberFormat="1" applyFont="1" applyBorder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/>
      <protection hidden="1"/>
    </xf>
    <xf numFmtId="2" fontId="3" fillId="2" borderId="4" xfId="0" applyNumberFormat="1" applyFont="1" applyFill="1" applyBorder="1" applyAlignment="1" applyProtection="1">
      <alignment horizontal="center" wrapText="1"/>
      <protection locked="0" hidden="1"/>
    </xf>
    <xf numFmtId="2" fontId="3" fillId="0" borderId="2" xfId="0" applyNumberFormat="1" applyFont="1" applyBorder="1" applyAlignment="1" applyProtection="1">
      <alignment horizontal="center" vertical="center"/>
      <protection hidden="1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164" fontId="3" fillId="0" borderId="15" xfId="0" applyNumberFormat="1" applyFont="1" applyBorder="1" applyAlignment="1" applyProtection="1">
      <alignment horizontal="center"/>
      <protection hidden="1"/>
    </xf>
    <xf numFmtId="164" fontId="3" fillId="0" borderId="16" xfId="0" applyNumberFormat="1" applyFont="1" applyBorder="1" applyAlignment="1" applyProtection="1">
      <alignment horizontal="center"/>
      <protection hidden="1"/>
    </xf>
    <xf numFmtId="2" fontId="3" fillId="3" borderId="4" xfId="0" applyNumberFormat="1" applyFont="1" applyFill="1" applyBorder="1" applyAlignment="1" applyProtection="1">
      <alignment horizontal="center" wrapText="1"/>
      <protection locked="0" hidden="1"/>
    </xf>
    <xf numFmtId="165" fontId="10" fillId="2" borderId="1" xfId="1" applyNumberFormat="1" applyFont="1" applyFill="1" applyBorder="1" applyAlignment="1" applyProtection="1">
      <alignment horizontal="center"/>
      <protection locked="0" hidden="1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2" fontId="3" fillId="0" borderId="19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Fill="1" applyBorder="1" applyAlignment="1" applyProtection="1">
      <alignment horizontal="left" vertical="center"/>
      <protection hidden="1"/>
    </xf>
    <xf numFmtId="164" fontId="3" fillId="0" borderId="0" xfId="0" applyNumberFormat="1" applyFont="1" applyBorder="1" applyAlignment="1" applyProtection="1">
      <alignment horizontal="center" vertical="center"/>
      <protection hidden="1"/>
    </xf>
    <xf numFmtId="167" fontId="14" fillId="0" borderId="0" xfId="0" applyNumberFormat="1" applyFont="1" applyBorder="1" applyAlignment="1" applyProtection="1">
      <alignment horizontal="right" vertical="center"/>
      <protection hidden="1"/>
    </xf>
    <xf numFmtId="0" fontId="3" fillId="0" borderId="22" xfId="1" applyFont="1" applyBorder="1" applyAlignment="1" applyProtection="1">
      <alignment horizontal="center"/>
      <protection locked="0" hidden="1"/>
    </xf>
    <xf numFmtId="0" fontId="3" fillId="0" borderId="23" xfId="1" applyFont="1" applyBorder="1" applyAlignment="1" applyProtection="1">
      <alignment horizontal="center"/>
      <protection locked="0" hidden="1"/>
    </xf>
    <xf numFmtId="0" fontId="11" fillId="0" borderId="23" xfId="1" applyFont="1" applyBorder="1" applyAlignment="1" applyProtection="1">
      <alignment horizontal="center" vertical="top" wrapText="1"/>
      <protection locked="0" hidden="1"/>
    </xf>
    <xf numFmtId="0" fontId="3" fillId="0" borderId="23" xfId="1" applyFont="1" applyBorder="1" applyAlignment="1" applyProtection="1">
      <alignment horizontal="center" vertical="top" wrapText="1"/>
      <protection locked="0" hidden="1"/>
    </xf>
    <xf numFmtId="0" fontId="3" fillId="0" borderId="24" xfId="1" applyFont="1" applyBorder="1" applyAlignment="1" applyProtection="1">
      <alignment horizontal="center" vertical="top" wrapText="1"/>
      <protection locked="0"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locked="0" hidden="1"/>
    </xf>
    <xf numFmtId="0" fontId="3" fillId="2" borderId="9" xfId="0" applyFont="1" applyFill="1" applyBorder="1" applyAlignment="1" applyProtection="1">
      <alignment horizontal="left" vertical="center" wrapText="1"/>
      <protection locked="0" hidden="1"/>
    </xf>
    <xf numFmtId="0" fontId="3" fillId="2" borderId="10" xfId="0" applyFont="1" applyFill="1" applyBorder="1" applyAlignment="1" applyProtection="1">
      <alignment horizontal="left" vertical="center" wrapText="1"/>
      <protection locked="0" hidden="1"/>
    </xf>
    <xf numFmtId="0" fontId="3" fillId="2" borderId="12" xfId="0" applyFont="1" applyFill="1" applyBorder="1" applyAlignment="1" applyProtection="1">
      <alignment horizontal="left" vertical="center" wrapText="1"/>
      <protection locked="0" hidden="1"/>
    </xf>
    <xf numFmtId="0" fontId="8" fillId="2" borderId="7" xfId="0" applyFont="1" applyFill="1" applyBorder="1" applyAlignment="1" applyProtection="1">
      <alignment horizontal="center" vertical="center" wrapText="1"/>
      <protection locked="0" hidden="1"/>
    </xf>
    <xf numFmtId="0" fontId="8" fillId="2" borderId="9" xfId="0" applyFont="1" applyFill="1" applyBorder="1" applyAlignment="1" applyProtection="1">
      <alignment horizontal="center" vertical="center" wrapText="1"/>
      <protection locked="0"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0" borderId="19" xfId="0" applyFont="1" applyBorder="1" applyAlignment="1" applyProtection="1">
      <alignment horizontal="center" vertical="center"/>
      <protection locked="0" hidden="1"/>
    </xf>
    <xf numFmtId="10" fontId="10" fillId="0" borderId="5" xfId="0" applyNumberFormat="1" applyFont="1" applyFill="1" applyBorder="1" applyAlignment="1" applyProtection="1">
      <alignment horizontal="center" vertical="center"/>
      <protection hidden="1"/>
    </xf>
    <xf numFmtId="10" fontId="3" fillId="0" borderId="19" xfId="0" applyNumberFormat="1" applyFont="1" applyBorder="1" applyAlignment="1" applyProtection="1">
      <alignment horizontal="center" vertical="center"/>
      <protection hidden="1"/>
    </xf>
    <xf numFmtId="2" fontId="3" fillId="0" borderId="7" xfId="0" applyNumberFormat="1" applyFont="1" applyBorder="1" applyAlignment="1" applyProtection="1">
      <alignment horizontal="center" vertical="center"/>
      <protection hidden="1"/>
    </xf>
    <xf numFmtId="2" fontId="3" fillId="0" borderId="10" xfId="0" applyNumberFormat="1" applyFont="1" applyBorder="1" applyAlignment="1" applyProtection="1">
      <alignment horizontal="center" vertical="center"/>
      <protection hidden="1"/>
    </xf>
    <xf numFmtId="2" fontId="3" fillId="0" borderId="17" xfId="0" applyNumberFormat="1" applyFont="1" applyBorder="1" applyAlignment="1" applyProtection="1">
      <alignment horizontal="right" vertical="center"/>
      <protection hidden="1"/>
    </xf>
    <xf numFmtId="2" fontId="3" fillId="0" borderId="20" xfId="0" applyNumberFormat="1" applyFont="1" applyBorder="1" applyAlignment="1" applyProtection="1">
      <alignment horizontal="right" vertical="center"/>
      <protection hidden="1"/>
    </xf>
    <xf numFmtId="168" fontId="3" fillId="0" borderId="18" xfId="0" applyNumberFormat="1" applyFont="1" applyBorder="1" applyAlignment="1" applyProtection="1">
      <alignment horizontal="left" vertical="center"/>
      <protection hidden="1"/>
    </xf>
    <xf numFmtId="168" fontId="3" fillId="0" borderId="21" xfId="0" applyNumberFormat="1" applyFont="1" applyBorder="1" applyAlignment="1" applyProtection="1">
      <alignment horizontal="left" vertical="center"/>
      <protection hidden="1"/>
    </xf>
    <xf numFmtId="2" fontId="3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12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164" fontId="3" fillId="0" borderId="15" xfId="0" applyNumberFormat="1" applyFont="1" applyBorder="1" applyAlignment="1" applyProtection="1">
      <alignment horizontal="center" vertical="center"/>
      <protection hidden="1"/>
    </xf>
    <xf numFmtId="164" fontId="3" fillId="0" borderId="16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/>
    <xf numFmtId="49" fontId="4" fillId="2" borderId="2" xfId="0" applyNumberFormat="1" applyFont="1" applyFill="1" applyBorder="1" applyAlignment="1" applyProtection="1">
      <alignment horizontal="left"/>
      <protection locked="0" hidden="1"/>
    </xf>
    <xf numFmtId="49" fontId="4" fillId="2" borderId="3" xfId="0" applyNumberFormat="1" applyFont="1" applyFill="1" applyBorder="1" applyAlignment="1" applyProtection="1">
      <alignment horizontal="left"/>
      <protection locked="0" hidden="1"/>
    </xf>
    <xf numFmtId="49" fontId="3" fillId="2" borderId="3" xfId="0" applyNumberFormat="1" applyFont="1" applyFill="1" applyBorder="1" applyAlignment="1" applyProtection="1">
      <alignment horizontal="left"/>
      <protection locked="0" hidden="1"/>
    </xf>
    <xf numFmtId="49" fontId="3" fillId="2" borderId="4" xfId="0" applyNumberFormat="1" applyFont="1" applyFill="1" applyBorder="1" applyAlignment="1" applyProtection="1">
      <alignment horizontal="left"/>
      <protection locked="0"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1875008528741"/>
          <c:y val="8.1761257374144358E-2"/>
          <c:w val="0.82088942710661028"/>
          <c:h val="0.76100862632857513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og"/>
            <c:dispRSqr val="0"/>
            <c:dispEq val="0"/>
          </c:trendline>
          <c:xVal>
            <c:numRef>
              <c:f>'04.02.20  (2)'!$B$11:$B$14</c:f>
              <c:numCache>
                <c:formatCode>0.0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10</c:v>
                </c:pt>
                <c:pt idx="3">
                  <c:v>40</c:v>
                </c:pt>
              </c:numCache>
            </c:numRef>
          </c:xVal>
          <c:yVal>
            <c:numRef>
              <c:f>'04.02.20  (2)'!$I$11:$I$14</c:f>
              <c:numCache>
                <c:formatCode>0.00</c:formatCode>
                <c:ptCount val="4"/>
                <c:pt idx="0">
                  <c:v>0.49035253952169983</c:v>
                </c:pt>
                <c:pt idx="1">
                  <c:v>0.11868422055954284</c:v>
                </c:pt>
                <c:pt idx="2">
                  <c:v>-0.5030323842250638</c:v>
                </c:pt>
                <c:pt idx="3">
                  <c:v>-1.1349901663092554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6E-429A-BD4F-3D4AB9F5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37312"/>
        <c:axId val="29038848"/>
      </c:scatterChart>
      <c:valAx>
        <c:axId val="29037312"/>
        <c:scaling>
          <c:logBase val="10"/>
          <c:orientation val="minMax"/>
          <c:max val="60"/>
          <c:min val="0.8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ru-RU" b="1"/>
                  <a:t>Массовая доля охратоксина</a:t>
                </a:r>
                <a:r>
                  <a:rPr lang="ru-RU" b="1" baseline="0"/>
                  <a:t> А</a:t>
                </a:r>
                <a:r>
                  <a:rPr lang="ru-RU" b="1"/>
                  <a:t>, мкг/кг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.28100673995128678"/>
              <c:y val="0.91477735283089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BY"/>
          </a:p>
        </c:txPr>
        <c:crossAx val="29038848"/>
        <c:crosses val="autoZero"/>
        <c:crossBetween val="midCat"/>
      </c:valAx>
      <c:valAx>
        <c:axId val="29038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Log </a:t>
                </a:r>
                <a:r>
                  <a:rPr lang="en-US" b="1" i="1"/>
                  <a:t>it</a:t>
                </a:r>
                <a:r>
                  <a:rPr lang="en-US" b="1"/>
                  <a:t> (B</a:t>
                </a:r>
                <a:r>
                  <a:rPr lang="en-US" b="1" baseline="-25000"/>
                  <a:t>i</a:t>
                </a:r>
                <a:r>
                  <a:rPr lang="en-US" b="1"/>
                  <a:t>/B</a:t>
                </a:r>
                <a:r>
                  <a:rPr lang="en-US" b="1" baseline="-25000"/>
                  <a:t>0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2.114789661112328E-2"/>
              <c:y val="0.33962354705661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ru-BY"/>
          </a:p>
        </c:txPr>
        <c:crossAx val="29037312"/>
        <c:crossesAt val="0.1"/>
        <c:crossBetween val="midCat"/>
        <c:majorUnit val="0.4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BY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trlProps/ctrlProp1.xml><?xml version="1.0" encoding="utf-8"?>
<formControlPr xmlns="http://schemas.microsoft.com/office/spreadsheetml/2009/9/main" objectType="Drop" dropLines="12" dropStyle="combo" dx="16" fmlaLink="$D$27" fmlaRange="$S$4:$S$16" noThreeD="1" sel="3" val="0"/>
</file>

<file path=xl/ctrlProps/ctrlProp10.xml><?xml version="1.0" encoding="utf-8"?>
<formControlPr xmlns="http://schemas.microsoft.com/office/spreadsheetml/2009/9/main" objectType="Drop" dropLines="12" dropStyle="combo" dx="16" fmlaLink="$D$45" fmlaRange="$S$4:$S$13" noThreeD="1" sel="10" val="0"/>
</file>

<file path=xl/ctrlProps/ctrlProp11.xml><?xml version="1.0" encoding="utf-8"?>
<formControlPr xmlns="http://schemas.microsoft.com/office/spreadsheetml/2009/9/main" objectType="Drop" dropLines="12" dropStyle="combo" dx="16" fmlaLink="$D$47" fmlaRange="$S$4:$S$13" noThreeD="1" sel="10" val="0"/>
</file>

<file path=xl/ctrlProps/ctrlProp12.xml><?xml version="1.0" encoding="utf-8"?>
<formControlPr xmlns="http://schemas.microsoft.com/office/spreadsheetml/2009/9/main" objectType="Drop" dropLines="12" dropStyle="combo" dx="16" fmlaLink="$D$49" fmlaRange="$S$4:$S$13" noThreeD="1" sel="10" val="0"/>
</file>

<file path=xl/ctrlProps/ctrlProp13.xml><?xml version="1.0" encoding="utf-8"?>
<formControlPr xmlns="http://schemas.microsoft.com/office/spreadsheetml/2009/9/main" objectType="Drop" dropLines="12" dropStyle="combo" dx="16" fmlaLink="$D$51" fmlaRange="$S$4:$S$13" noThreeD="1" sel="10" val="0"/>
</file>

<file path=xl/ctrlProps/ctrlProp14.xml><?xml version="1.0" encoding="utf-8"?>
<formControlPr xmlns="http://schemas.microsoft.com/office/spreadsheetml/2009/9/main" objectType="Drop" dropLines="12" dropStyle="combo" dx="16" fmlaLink="$D$53" fmlaRange="$S$4:$S$13" noThreeD="1" sel="10" val="0"/>
</file>

<file path=xl/ctrlProps/ctrlProp15.xml><?xml version="1.0" encoding="utf-8"?>
<formControlPr xmlns="http://schemas.microsoft.com/office/spreadsheetml/2009/9/main" objectType="Drop" dropLines="12" dropStyle="combo" dx="16" fmlaLink="$D$55" fmlaRange="$S$4:$S$13" noThreeD="1" sel="10" val="0"/>
</file>

<file path=xl/ctrlProps/ctrlProp16.xml><?xml version="1.0" encoding="utf-8"?>
<formControlPr xmlns="http://schemas.microsoft.com/office/spreadsheetml/2009/9/main" objectType="Drop" dropLines="12" dropStyle="combo" dx="16" fmlaLink="$D$57" fmlaRange="$S$4:$S$13" noThreeD="1" sel="6" val="0"/>
</file>

<file path=xl/ctrlProps/ctrlProp17.xml><?xml version="1.0" encoding="utf-8"?>
<formControlPr xmlns="http://schemas.microsoft.com/office/spreadsheetml/2009/9/main" objectType="Drop" dropLines="12" dropStyle="combo" dx="16" fmlaLink="$D$59" fmlaRange="$S$4:$S$13" noThreeD="1" sel="10" val="0"/>
</file>

<file path=xl/ctrlProps/ctrlProp18.xml><?xml version="1.0" encoding="utf-8"?>
<formControlPr xmlns="http://schemas.microsoft.com/office/spreadsheetml/2009/9/main" objectType="Drop" dropLines="12" dropStyle="combo" dx="16" fmlaLink="$D$61" fmlaRange="$S$4:$S$13" noThreeD="1" sel="10" val="0"/>
</file>

<file path=xl/ctrlProps/ctrlProp19.xml><?xml version="1.0" encoding="utf-8"?>
<formControlPr xmlns="http://schemas.microsoft.com/office/spreadsheetml/2009/9/main" objectType="Drop" dropLines="12" dropStyle="combo" dx="16" fmlaLink="$D$63" fmlaRange="$S$4:$S$13" noThreeD="1" sel="2" val="0"/>
</file>

<file path=xl/ctrlProps/ctrlProp2.xml><?xml version="1.0" encoding="utf-8"?>
<formControlPr xmlns="http://schemas.microsoft.com/office/spreadsheetml/2009/9/main" objectType="Drop" dropLines="12" dropStyle="combo" dx="16" fmlaLink="$D$29" fmlaRange="$S$4:$S$13" noThreeD="1" sel="10" val="0"/>
</file>

<file path=xl/ctrlProps/ctrlProp20.xml><?xml version="1.0" encoding="utf-8"?>
<formControlPr xmlns="http://schemas.microsoft.com/office/spreadsheetml/2009/9/main" objectType="Drop" dropLines="12" dropStyle="combo" dx="16" fmlaLink="$D$65" fmlaRange="$S$4:$S$13" noThreeD="1" sel="10" val="0"/>
</file>

<file path=xl/ctrlProps/ctrlProp21.xml><?xml version="1.0" encoding="utf-8"?>
<formControlPr xmlns="http://schemas.microsoft.com/office/spreadsheetml/2009/9/main" objectType="Drop" dropLines="12" dropStyle="combo" dx="16" fmlaLink="$D$29" fmlaRange="$S$4:$S$16" noThreeD="1" sel="13" val="0"/>
</file>

<file path=xl/ctrlProps/ctrlProp22.xml><?xml version="1.0" encoding="utf-8"?>
<formControlPr xmlns="http://schemas.microsoft.com/office/spreadsheetml/2009/9/main" objectType="Drop" dropLines="12" dropStyle="combo" dx="16" fmlaLink="$D$31" fmlaRange="$S$4:$S$16" noThreeD="1" sel="11" val="0"/>
</file>

<file path=xl/ctrlProps/ctrlProp23.xml><?xml version="1.0" encoding="utf-8"?>
<formControlPr xmlns="http://schemas.microsoft.com/office/spreadsheetml/2009/9/main" objectType="Drop" dropLines="12" dropStyle="combo" dx="16" fmlaLink="$D$33" fmlaRange="$S$4:$S$16" noThreeD="1" sel="11" val="0"/>
</file>

<file path=xl/ctrlProps/ctrlProp24.xml><?xml version="1.0" encoding="utf-8"?>
<formControlPr xmlns="http://schemas.microsoft.com/office/spreadsheetml/2009/9/main" objectType="Drop" dropLines="12" dropStyle="combo" dx="16" fmlaLink="$D$35" fmlaRange="$S$4:$S$16" noThreeD="1" sel="10" val="0"/>
</file>

<file path=xl/ctrlProps/ctrlProp25.xml><?xml version="1.0" encoding="utf-8"?>
<formControlPr xmlns="http://schemas.microsoft.com/office/spreadsheetml/2009/9/main" objectType="Drop" dropLines="12" dropStyle="combo" dx="16" fmlaLink="$D$37" fmlaRange="$S$4:$S$16" noThreeD="1" sel="6" val="0"/>
</file>

<file path=xl/ctrlProps/ctrlProp26.xml><?xml version="1.0" encoding="utf-8"?>
<formControlPr xmlns="http://schemas.microsoft.com/office/spreadsheetml/2009/9/main" objectType="Drop" dropLines="12" dropStyle="combo" dx="16" fmlaLink="$D$39" fmlaRange="$S$4:$S$16" noThreeD="1" sel="3" val="0"/>
</file>

<file path=xl/ctrlProps/ctrlProp27.xml><?xml version="1.0" encoding="utf-8"?>
<formControlPr xmlns="http://schemas.microsoft.com/office/spreadsheetml/2009/9/main" objectType="Drop" dropLines="12" dropStyle="combo" dx="16" fmlaLink="$D$41" fmlaRange="$S$4:$S$16" noThreeD="1" sel="11" val="0"/>
</file>

<file path=xl/ctrlProps/ctrlProp28.xml><?xml version="1.0" encoding="utf-8"?>
<formControlPr xmlns="http://schemas.microsoft.com/office/spreadsheetml/2009/9/main" objectType="Drop" dropLines="12" dropStyle="combo" dx="16" fmlaLink="$D$43" fmlaRange="$S$4:$S$16" noThreeD="1" sel="11" val="0"/>
</file>

<file path=xl/ctrlProps/ctrlProp29.xml><?xml version="1.0" encoding="utf-8"?>
<formControlPr xmlns="http://schemas.microsoft.com/office/spreadsheetml/2009/9/main" objectType="Drop" dropLines="12" dropStyle="combo" dx="16" fmlaLink="$D$45" fmlaRange="$S$4:$S$16" noThreeD="1" sel="11" val="0"/>
</file>

<file path=xl/ctrlProps/ctrlProp3.xml><?xml version="1.0" encoding="utf-8"?>
<formControlPr xmlns="http://schemas.microsoft.com/office/spreadsheetml/2009/9/main" objectType="Drop" dropLines="12" dropStyle="combo" dx="16" fmlaLink="$D$31" fmlaRange="$S$4:$S$13" noThreeD="1" sel="10" val="0"/>
</file>

<file path=xl/ctrlProps/ctrlProp30.xml><?xml version="1.0" encoding="utf-8"?>
<formControlPr xmlns="http://schemas.microsoft.com/office/spreadsheetml/2009/9/main" objectType="Drop" dropLines="12" dropStyle="combo" dx="16" fmlaLink="$D$47" fmlaRange="$S$4:$S$16" noThreeD="1" sel="11" val="0"/>
</file>

<file path=xl/ctrlProps/ctrlProp31.xml><?xml version="1.0" encoding="utf-8"?>
<formControlPr xmlns="http://schemas.microsoft.com/office/spreadsheetml/2009/9/main" objectType="Drop" dropLines="12" dropStyle="combo" dx="16" fmlaLink="$D$49" fmlaRange="$S$4:$S$16" noThreeD="1" sel="11" val="0"/>
</file>

<file path=xl/ctrlProps/ctrlProp32.xml><?xml version="1.0" encoding="utf-8"?>
<formControlPr xmlns="http://schemas.microsoft.com/office/spreadsheetml/2009/9/main" objectType="Drop" dropLines="12" dropStyle="combo" dx="16" fmlaLink="$D$51" fmlaRange="$S$4:$S$16" noThreeD="1" sel="11" val="0"/>
</file>

<file path=xl/ctrlProps/ctrlProp33.xml><?xml version="1.0" encoding="utf-8"?>
<formControlPr xmlns="http://schemas.microsoft.com/office/spreadsheetml/2009/9/main" objectType="Drop" dropLines="12" dropStyle="combo" dx="16" fmlaLink="$D$53" fmlaRange="$S$4:$S$16" noThreeD="1" sel="11" val="0"/>
</file>

<file path=xl/ctrlProps/ctrlProp34.xml><?xml version="1.0" encoding="utf-8"?>
<formControlPr xmlns="http://schemas.microsoft.com/office/spreadsheetml/2009/9/main" objectType="Drop" dropLines="12" dropStyle="combo" dx="16" fmlaLink="$D$55" fmlaRange="$S$4:$S$16" noThreeD="1" sel="11" val="0"/>
</file>

<file path=xl/ctrlProps/ctrlProp35.xml><?xml version="1.0" encoding="utf-8"?>
<formControlPr xmlns="http://schemas.microsoft.com/office/spreadsheetml/2009/9/main" objectType="Drop" dropLines="12" dropStyle="combo" dx="16" fmlaLink="$D$57" fmlaRange="$S$4:$S$16" noThreeD="1" sel="6"/>
</file>

<file path=xl/ctrlProps/ctrlProp36.xml><?xml version="1.0" encoding="utf-8"?>
<formControlPr xmlns="http://schemas.microsoft.com/office/spreadsheetml/2009/9/main" objectType="Drop" dropLines="12" dropStyle="combo" dx="16" fmlaLink="$D$59" fmlaRange="$S$4:$S$16" noThreeD="1" sel="11" val="0"/>
</file>

<file path=xl/ctrlProps/ctrlProp37.xml><?xml version="1.0" encoding="utf-8"?>
<formControlPr xmlns="http://schemas.microsoft.com/office/spreadsheetml/2009/9/main" objectType="Drop" dropLines="12" dropStyle="combo" dx="16" fmlaLink="$D$61" fmlaRange="$S$4:$S$16" noThreeD="1" sel="11" val="0"/>
</file>

<file path=xl/ctrlProps/ctrlProp38.xml><?xml version="1.0" encoding="utf-8"?>
<formControlPr xmlns="http://schemas.microsoft.com/office/spreadsheetml/2009/9/main" objectType="Drop" dropLines="12" dropStyle="combo" dx="16" fmlaLink="$D$63" fmlaRange="$S$4:$S$16" noThreeD="1" sel="2" val="0"/>
</file>

<file path=xl/ctrlProps/ctrlProp39.xml><?xml version="1.0" encoding="utf-8"?>
<formControlPr xmlns="http://schemas.microsoft.com/office/spreadsheetml/2009/9/main" objectType="Drop" dropLines="12" dropStyle="combo" dx="16" fmlaLink="$D$65" fmlaRange="$S$4:$S$16" noThreeD="1" sel="12" val="0"/>
</file>

<file path=xl/ctrlProps/ctrlProp4.xml><?xml version="1.0" encoding="utf-8"?>
<formControlPr xmlns="http://schemas.microsoft.com/office/spreadsheetml/2009/9/main" objectType="Drop" dropLines="12" dropStyle="combo" dx="16" fmlaLink="$D$33" fmlaRange="$S$4:$S$13" noThreeD="1" sel="10" val="0"/>
</file>

<file path=xl/ctrlProps/ctrlProp5.xml><?xml version="1.0" encoding="utf-8"?>
<formControlPr xmlns="http://schemas.microsoft.com/office/spreadsheetml/2009/9/main" objectType="Drop" dropLines="12" dropStyle="combo" dx="16" fmlaLink="$D$35" fmlaRange="$S$4:$S$13" noThreeD="1" sel="10" val="0"/>
</file>

<file path=xl/ctrlProps/ctrlProp6.xml><?xml version="1.0" encoding="utf-8"?>
<formControlPr xmlns="http://schemas.microsoft.com/office/spreadsheetml/2009/9/main" objectType="Drop" dropLines="12" dropStyle="combo" dx="16" fmlaLink="$D$37" fmlaRange="$S$4:$S$13" noThreeD="1" sel="6" val="0"/>
</file>

<file path=xl/ctrlProps/ctrlProp7.xml><?xml version="1.0" encoding="utf-8"?>
<formControlPr xmlns="http://schemas.microsoft.com/office/spreadsheetml/2009/9/main" objectType="Drop" dropLines="12" dropStyle="combo" dx="16" fmlaLink="$D$39" fmlaRange="$S$4:$S$13" noThreeD="1" sel="3" val="0"/>
</file>

<file path=xl/ctrlProps/ctrlProp8.xml><?xml version="1.0" encoding="utf-8"?>
<formControlPr xmlns="http://schemas.microsoft.com/office/spreadsheetml/2009/9/main" objectType="Drop" dropLines="12" dropStyle="combo" dx="16" fmlaLink="$D$41" fmlaRange="$S$4:$S$13" noThreeD="1" sel="10" val="0"/>
</file>

<file path=xl/ctrlProps/ctrlProp9.xml><?xml version="1.0" encoding="utf-8"?>
<formControlPr xmlns="http://schemas.microsoft.com/office/spreadsheetml/2009/9/main" objectType="Drop" dropLines="12" dropStyle="combo" dx="16" fmlaLink="$D$43" fmlaRange="$S$4:$S$13" noThreeD="1" sel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171449</xdr:colOff>
      <xdr:row>0</xdr:row>
      <xdr:rowOff>730250</xdr:rowOff>
    </xdr:from>
    <xdr:to>
      <xdr:col>22</xdr:col>
      <xdr:colOff>190500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57150</xdr:rowOff>
        </xdr:from>
        <xdr:to>
          <xdr:col>5</xdr:col>
          <xdr:colOff>9525</xdr:colOff>
          <xdr:row>27</xdr:row>
          <xdr:rowOff>152400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57150</xdr:rowOff>
        </xdr:from>
        <xdr:to>
          <xdr:col>5</xdr:col>
          <xdr:colOff>9525</xdr:colOff>
          <xdr:row>29</xdr:row>
          <xdr:rowOff>152400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57150</xdr:rowOff>
        </xdr:from>
        <xdr:to>
          <xdr:col>5</xdr:col>
          <xdr:colOff>9525</xdr:colOff>
          <xdr:row>31</xdr:row>
          <xdr:rowOff>152400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57150</xdr:rowOff>
        </xdr:from>
        <xdr:to>
          <xdr:col>5</xdr:col>
          <xdr:colOff>9525</xdr:colOff>
          <xdr:row>33</xdr:row>
          <xdr:rowOff>152400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57150</xdr:rowOff>
        </xdr:from>
        <xdr:to>
          <xdr:col>5</xdr:col>
          <xdr:colOff>9525</xdr:colOff>
          <xdr:row>35</xdr:row>
          <xdr:rowOff>152400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57150</xdr:rowOff>
        </xdr:from>
        <xdr:to>
          <xdr:col>5</xdr:col>
          <xdr:colOff>9525</xdr:colOff>
          <xdr:row>37</xdr:row>
          <xdr:rowOff>152400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57150</xdr:rowOff>
        </xdr:from>
        <xdr:to>
          <xdr:col>5</xdr:col>
          <xdr:colOff>9525</xdr:colOff>
          <xdr:row>39</xdr:row>
          <xdr:rowOff>152400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57150</xdr:rowOff>
        </xdr:from>
        <xdr:to>
          <xdr:col>5</xdr:col>
          <xdr:colOff>9525</xdr:colOff>
          <xdr:row>41</xdr:row>
          <xdr:rowOff>152400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57150</xdr:rowOff>
        </xdr:from>
        <xdr:to>
          <xdr:col>5</xdr:col>
          <xdr:colOff>9525</xdr:colOff>
          <xdr:row>43</xdr:row>
          <xdr:rowOff>152400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57150</xdr:rowOff>
        </xdr:from>
        <xdr:to>
          <xdr:col>5</xdr:col>
          <xdr:colOff>9525</xdr:colOff>
          <xdr:row>45</xdr:row>
          <xdr:rowOff>152400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57150</xdr:rowOff>
        </xdr:from>
        <xdr:to>
          <xdr:col>5</xdr:col>
          <xdr:colOff>9525</xdr:colOff>
          <xdr:row>47</xdr:row>
          <xdr:rowOff>152400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57150</xdr:rowOff>
        </xdr:from>
        <xdr:to>
          <xdr:col>5</xdr:col>
          <xdr:colOff>9525</xdr:colOff>
          <xdr:row>49</xdr:row>
          <xdr:rowOff>152400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57150</xdr:rowOff>
        </xdr:from>
        <xdr:to>
          <xdr:col>5</xdr:col>
          <xdr:colOff>9525</xdr:colOff>
          <xdr:row>51</xdr:row>
          <xdr:rowOff>152400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57150</xdr:rowOff>
        </xdr:from>
        <xdr:to>
          <xdr:col>5</xdr:col>
          <xdr:colOff>9525</xdr:colOff>
          <xdr:row>53</xdr:row>
          <xdr:rowOff>152400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57150</xdr:rowOff>
        </xdr:from>
        <xdr:to>
          <xdr:col>5</xdr:col>
          <xdr:colOff>9525</xdr:colOff>
          <xdr:row>55</xdr:row>
          <xdr:rowOff>152400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57150</xdr:rowOff>
        </xdr:from>
        <xdr:to>
          <xdr:col>5</xdr:col>
          <xdr:colOff>9525</xdr:colOff>
          <xdr:row>57</xdr:row>
          <xdr:rowOff>152400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57150</xdr:rowOff>
        </xdr:from>
        <xdr:to>
          <xdr:col>5</xdr:col>
          <xdr:colOff>9525</xdr:colOff>
          <xdr:row>59</xdr:row>
          <xdr:rowOff>152400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57150</xdr:rowOff>
        </xdr:from>
        <xdr:to>
          <xdr:col>5</xdr:col>
          <xdr:colOff>9525</xdr:colOff>
          <xdr:row>61</xdr:row>
          <xdr:rowOff>152400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57150</xdr:rowOff>
        </xdr:from>
        <xdr:to>
          <xdr:col>5</xdr:col>
          <xdr:colOff>9525</xdr:colOff>
          <xdr:row>63</xdr:row>
          <xdr:rowOff>152400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57150</xdr:rowOff>
        </xdr:from>
        <xdr:to>
          <xdr:col>5</xdr:col>
          <xdr:colOff>9525</xdr:colOff>
          <xdr:row>65</xdr:row>
          <xdr:rowOff>152400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542925</xdr:colOff>
      <xdr:row>0</xdr:row>
      <xdr:rowOff>219075</xdr:rowOff>
    </xdr:from>
    <xdr:ext cx="1285875" cy="0"/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190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57150</xdr:colOff>
      <xdr:row>0</xdr:row>
      <xdr:rowOff>38100</xdr:rowOff>
    </xdr:from>
    <xdr:to>
      <xdr:col>1</xdr:col>
      <xdr:colOff>457200</xdr:colOff>
      <xdr:row>0</xdr:row>
      <xdr:rowOff>666750</xdr:rowOff>
    </xdr:to>
    <xdr:pic>
      <xdr:nvPicPr>
        <xdr:cNvPr id="24" name="Рисунок 23" descr="Лого КПС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8580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419100</xdr:colOff>
      <xdr:row>0</xdr:row>
      <xdr:rowOff>219075</xdr:rowOff>
    </xdr:from>
    <xdr:ext cx="2200275" cy="295275"/>
    <xdr:pic>
      <xdr:nvPicPr>
        <xdr:cNvPr id="25" name="Рисунок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19075"/>
          <a:ext cx="2200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57150</xdr:rowOff>
        </xdr:from>
        <xdr:to>
          <xdr:col>5</xdr:col>
          <xdr:colOff>9525</xdr:colOff>
          <xdr:row>29</xdr:row>
          <xdr:rowOff>152400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57150</xdr:rowOff>
        </xdr:from>
        <xdr:to>
          <xdr:col>5</xdr:col>
          <xdr:colOff>9525</xdr:colOff>
          <xdr:row>31</xdr:row>
          <xdr:rowOff>152400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57150</xdr:rowOff>
        </xdr:from>
        <xdr:to>
          <xdr:col>5</xdr:col>
          <xdr:colOff>9525</xdr:colOff>
          <xdr:row>33</xdr:row>
          <xdr:rowOff>152400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57150</xdr:rowOff>
        </xdr:from>
        <xdr:to>
          <xdr:col>5</xdr:col>
          <xdr:colOff>9525</xdr:colOff>
          <xdr:row>35</xdr:row>
          <xdr:rowOff>152400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57150</xdr:rowOff>
        </xdr:from>
        <xdr:to>
          <xdr:col>5</xdr:col>
          <xdr:colOff>9525</xdr:colOff>
          <xdr:row>37</xdr:row>
          <xdr:rowOff>152400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57150</xdr:rowOff>
        </xdr:from>
        <xdr:to>
          <xdr:col>5</xdr:col>
          <xdr:colOff>9525</xdr:colOff>
          <xdr:row>39</xdr:row>
          <xdr:rowOff>152400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57150</xdr:rowOff>
        </xdr:from>
        <xdr:to>
          <xdr:col>5</xdr:col>
          <xdr:colOff>9525</xdr:colOff>
          <xdr:row>41</xdr:row>
          <xdr:rowOff>152400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57150</xdr:rowOff>
        </xdr:from>
        <xdr:to>
          <xdr:col>5</xdr:col>
          <xdr:colOff>9525</xdr:colOff>
          <xdr:row>43</xdr:row>
          <xdr:rowOff>152400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57150</xdr:rowOff>
        </xdr:from>
        <xdr:to>
          <xdr:col>5</xdr:col>
          <xdr:colOff>9525</xdr:colOff>
          <xdr:row>45</xdr:row>
          <xdr:rowOff>152400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57150</xdr:rowOff>
        </xdr:from>
        <xdr:to>
          <xdr:col>5</xdr:col>
          <xdr:colOff>9525</xdr:colOff>
          <xdr:row>47</xdr:row>
          <xdr:rowOff>152400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57150</xdr:rowOff>
        </xdr:from>
        <xdr:to>
          <xdr:col>5</xdr:col>
          <xdr:colOff>9525</xdr:colOff>
          <xdr:row>49</xdr:row>
          <xdr:rowOff>152400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57150</xdr:rowOff>
        </xdr:from>
        <xdr:to>
          <xdr:col>5</xdr:col>
          <xdr:colOff>9525</xdr:colOff>
          <xdr:row>51</xdr:row>
          <xdr:rowOff>152400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57150</xdr:rowOff>
        </xdr:from>
        <xdr:to>
          <xdr:col>5</xdr:col>
          <xdr:colOff>9525</xdr:colOff>
          <xdr:row>53</xdr:row>
          <xdr:rowOff>152400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57150</xdr:rowOff>
        </xdr:from>
        <xdr:to>
          <xdr:col>5</xdr:col>
          <xdr:colOff>9525</xdr:colOff>
          <xdr:row>55</xdr:row>
          <xdr:rowOff>152400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57150</xdr:rowOff>
        </xdr:from>
        <xdr:to>
          <xdr:col>5</xdr:col>
          <xdr:colOff>9525</xdr:colOff>
          <xdr:row>57</xdr:row>
          <xdr:rowOff>152400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57150</xdr:rowOff>
        </xdr:from>
        <xdr:to>
          <xdr:col>5</xdr:col>
          <xdr:colOff>9525</xdr:colOff>
          <xdr:row>59</xdr:row>
          <xdr:rowOff>152400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57150</xdr:rowOff>
        </xdr:from>
        <xdr:to>
          <xdr:col>5</xdr:col>
          <xdr:colOff>9525</xdr:colOff>
          <xdr:row>61</xdr:row>
          <xdr:rowOff>152400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57150</xdr:rowOff>
        </xdr:from>
        <xdr:to>
          <xdr:col>5</xdr:col>
          <xdr:colOff>9525</xdr:colOff>
          <xdr:row>63</xdr:row>
          <xdr:rowOff>152400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57150</xdr:rowOff>
        </xdr:from>
        <xdr:to>
          <xdr:col>5</xdr:col>
          <xdr:colOff>9525</xdr:colOff>
          <xdr:row>65</xdr:row>
          <xdr:rowOff>152400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zoomScale="90" zoomScaleNormal="90" workbookViewId="0">
      <pane ySplit="1" topLeftCell="A2" activePane="bottomLeft" state="frozen"/>
      <selection pane="bottomLeft" activeCell="D16" sqref="D16"/>
    </sheetView>
  </sheetViews>
  <sheetFormatPr defaultRowHeight="15" x14ac:dyDescent="0.25"/>
  <cols>
    <col min="1" max="1" width="3.42578125" style="12" customWidth="1"/>
    <col min="2" max="2" width="11.42578125" style="12" customWidth="1"/>
    <col min="3" max="3" width="16.42578125" style="12" customWidth="1"/>
    <col min="4" max="9" width="13.5703125" style="12" customWidth="1"/>
    <col min="10" max="10" width="11.42578125" style="12" customWidth="1"/>
    <col min="11" max="11" width="21.140625" style="12" hidden="1" customWidth="1"/>
    <col min="12" max="12" width="21.28515625" style="12" customWidth="1"/>
    <col min="13" max="14" width="13.5703125" style="12" customWidth="1"/>
    <col min="15" max="15" width="28.5703125" style="12" customWidth="1"/>
    <col min="16" max="16" width="2.140625" customWidth="1"/>
    <col min="17" max="17" width="0.42578125" hidden="1" customWidth="1"/>
    <col min="18" max="18" width="8.85546875" hidden="1" customWidth="1"/>
    <col min="19" max="19" width="12.28515625" hidden="1" customWidth="1"/>
    <col min="20" max="20" width="19.85546875" hidden="1" customWidth="1"/>
    <col min="21" max="21" width="18" hidden="1" customWidth="1"/>
    <col min="22" max="22" width="14.5703125" hidden="1" customWidth="1"/>
  </cols>
  <sheetData>
    <row r="1" spans="1:22" ht="66" customHeight="1" thickBot="1" x14ac:dyDescent="0.3">
      <c r="A1" s="62"/>
      <c r="B1" s="63"/>
      <c r="C1" s="63"/>
      <c r="D1" s="63"/>
      <c r="E1" s="64" t="s">
        <v>32</v>
      </c>
      <c r="F1" s="65"/>
      <c r="G1" s="65"/>
      <c r="H1" s="65"/>
      <c r="I1" s="66"/>
    </row>
    <row r="2" spans="1:22" ht="53.25" customHeight="1" x14ac:dyDescent="0.25">
      <c r="A2" s="103" t="s">
        <v>45</v>
      </c>
      <c r="B2" s="103"/>
      <c r="C2" s="103"/>
      <c r="D2" s="103"/>
      <c r="E2" s="103"/>
      <c r="F2" s="103"/>
      <c r="G2" s="103"/>
      <c r="H2" s="103"/>
      <c r="I2" s="103"/>
      <c r="J2" s="2"/>
      <c r="K2" s="2"/>
      <c r="L2" s="2"/>
      <c r="M2" s="2"/>
      <c r="N2" s="2"/>
      <c r="O2" s="2"/>
    </row>
    <row r="3" spans="1:22" ht="15" customHeight="1" x14ac:dyDescent="0.25">
      <c r="A3" s="2"/>
      <c r="B3" s="2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S3" s="4" t="s">
        <v>0</v>
      </c>
      <c r="T3" s="5" t="s">
        <v>44</v>
      </c>
      <c r="U3" s="5" t="s">
        <v>38</v>
      </c>
      <c r="V3" t="s">
        <v>26</v>
      </c>
    </row>
    <row r="4" spans="1:22" x14ac:dyDescent="0.25">
      <c r="A4" s="104" t="s">
        <v>1</v>
      </c>
      <c r="B4" s="92"/>
      <c r="C4" s="93"/>
      <c r="D4" s="94"/>
      <c r="E4" s="94"/>
      <c r="F4" s="95"/>
      <c r="G4" s="95"/>
      <c r="H4" s="96"/>
      <c r="I4" s="6"/>
      <c r="J4" s="2"/>
      <c r="K4" s="2"/>
      <c r="L4" s="2"/>
      <c r="M4" s="2"/>
      <c r="N4" s="2"/>
      <c r="O4" s="2"/>
      <c r="R4">
        <v>1</v>
      </c>
      <c r="S4" t="s">
        <v>34</v>
      </c>
      <c r="T4">
        <v>25</v>
      </c>
      <c r="U4">
        <v>26</v>
      </c>
      <c r="V4">
        <v>1</v>
      </c>
    </row>
    <row r="5" spans="1:22" x14ac:dyDescent="0.25">
      <c r="A5" s="104" t="s">
        <v>2</v>
      </c>
      <c r="B5" s="92"/>
      <c r="C5" s="93"/>
      <c r="D5" s="94"/>
      <c r="E5" s="94"/>
      <c r="F5" s="95"/>
      <c r="G5" s="95"/>
      <c r="H5" s="96"/>
      <c r="I5" s="6"/>
      <c r="J5" s="2"/>
      <c r="K5" s="2"/>
      <c r="L5" s="2"/>
      <c r="M5" s="2"/>
      <c r="N5" s="2"/>
      <c r="O5" s="2"/>
      <c r="R5">
        <v>2</v>
      </c>
      <c r="S5" t="s">
        <v>33</v>
      </c>
      <c r="T5">
        <v>25</v>
      </c>
      <c r="U5">
        <v>26</v>
      </c>
      <c r="V5">
        <v>1</v>
      </c>
    </row>
    <row r="6" spans="1:22" x14ac:dyDescent="0.25">
      <c r="A6" s="104" t="s">
        <v>3</v>
      </c>
      <c r="B6" s="92"/>
      <c r="C6" s="93"/>
      <c r="D6" s="94"/>
      <c r="E6" s="94"/>
      <c r="F6" s="95"/>
      <c r="G6" s="95"/>
      <c r="H6" s="96"/>
      <c r="I6" s="6"/>
      <c r="J6" s="2"/>
      <c r="K6" s="2"/>
      <c r="L6" s="2"/>
      <c r="M6" s="2"/>
      <c r="N6" s="2"/>
      <c r="O6" s="2"/>
      <c r="R6">
        <v>3</v>
      </c>
      <c r="S6" t="s">
        <v>35</v>
      </c>
      <c r="T6">
        <v>25</v>
      </c>
      <c r="U6">
        <v>26</v>
      </c>
      <c r="V6">
        <v>1</v>
      </c>
    </row>
    <row r="7" spans="1:22" x14ac:dyDescent="0.25">
      <c r="A7" s="87"/>
      <c r="B7" s="92"/>
      <c r="C7" s="93"/>
      <c r="D7" s="94"/>
      <c r="E7" s="94"/>
      <c r="F7" s="95"/>
      <c r="G7" s="95"/>
      <c r="H7" s="96"/>
      <c r="I7" s="6"/>
      <c r="J7" s="2"/>
      <c r="K7" s="2"/>
      <c r="L7" s="2"/>
      <c r="M7" s="2"/>
      <c r="N7" s="2"/>
      <c r="O7" s="2"/>
      <c r="R7">
        <v>4</v>
      </c>
      <c r="S7" t="s">
        <v>36</v>
      </c>
      <c r="T7">
        <v>25</v>
      </c>
      <c r="U7">
        <v>26</v>
      </c>
      <c r="V7">
        <v>1</v>
      </c>
    </row>
    <row r="8" spans="1:22" ht="15.75" x14ac:dyDescent="0.25">
      <c r="A8" s="7" t="s">
        <v>5</v>
      </c>
      <c r="B8" s="8"/>
      <c r="C8" s="3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R8">
        <v>5</v>
      </c>
      <c r="S8" s="14" t="s">
        <v>4</v>
      </c>
      <c r="T8">
        <v>25</v>
      </c>
      <c r="U8">
        <v>26</v>
      </c>
      <c r="V8">
        <v>1</v>
      </c>
    </row>
    <row r="9" spans="1:22" x14ac:dyDescent="0.25">
      <c r="A9" s="97" t="s">
        <v>7</v>
      </c>
      <c r="B9" s="98"/>
      <c r="C9" s="98"/>
      <c r="D9" s="99" t="s">
        <v>8</v>
      </c>
      <c r="E9" s="100"/>
      <c r="F9" s="9" t="s">
        <v>9</v>
      </c>
      <c r="G9" s="9" t="s">
        <v>10</v>
      </c>
      <c r="H9" s="9" t="s">
        <v>11</v>
      </c>
      <c r="I9" s="9" t="s">
        <v>12</v>
      </c>
      <c r="J9" s="10"/>
      <c r="K9" s="11"/>
      <c r="L9" s="11"/>
      <c r="N9" s="11"/>
      <c r="O9" s="13"/>
      <c r="R9">
        <v>6</v>
      </c>
      <c r="S9" s="14" t="s">
        <v>37</v>
      </c>
      <c r="T9">
        <v>25</v>
      </c>
      <c r="U9">
        <v>26</v>
      </c>
      <c r="V9">
        <v>1</v>
      </c>
    </row>
    <row r="10" spans="1:22" x14ac:dyDescent="0.25">
      <c r="A10" s="15" t="s">
        <v>13</v>
      </c>
      <c r="B10" s="16">
        <v>0</v>
      </c>
      <c r="C10" s="17" t="s">
        <v>14</v>
      </c>
      <c r="D10" s="18">
        <v>2.117</v>
      </c>
      <c r="E10" s="18">
        <v>1.8080000000000001</v>
      </c>
      <c r="F10" s="19">
        <f t="shared" ref="F10:F14" si="0">(AVERAGE(D10:E10)/AVERAGE($D$10:$E$10))</f>
        <v>1</v>
      </c>
      <c r="G10" s="20">
        <f t="shared" ref="G10:G14" si="1">IF(OR(D10="",E10=""),"",IF(D10=E10,"0,00%",STDEV(D10:E10)/AVERAGE(D10:E10)))</f>
        <v>0.11133553905051881</v>
      </c>
      <c r="H10" s="21"/>
      <c r="I10" s="22"/>
      <c r="J10" s="10"/>
      <c r="K10" s="23"/>
      <c r="L10" s="23"/>
      <c r="N10" s="24"/>
      <c r="O10" s="13"/>
      <c r="R10">
        <v>7</v>
      </c>
      <c r="S10" s="14" t="s">
        <v>6</v>
      </c>
      <c r="T10">
        <v>25</v>
      </c>
      <c r="U10">
        <v>26</v>
      </c>
      <c r="V10">
        <v>1</v>
      </c>
    </row>
    <row r="11" spans="1:22" x14ac:dyDescent="0.25">
      <c r="A11" s="25" t="s">
        <v>15</v>
      </c>
      <c r="B11" s="26">
        <v>1</v>
      </c>
      <c r="C11" s="17" t="s">
        <v>14</v>
      </c>
      <c r="D11" s="18">
        <v>1.38</v>
      </c>
      <c r="E11" s="18">
        <v>1.5860000000000001</v>
      </c>
      <c r="F11" s="19">
        <f t="shared" si="0"/>
        <v>0.75566878980891727</v>
      </c>
      <c r="G11" s="20">
        <f t="shared" si="1"/>
        <v>9.8222519841152323E-2</v>
      </c>
      <c r="H11" s="21">
        <f>LOG(B11)</f>
        <v>0</v>
      </c>
      <c r="I11" s="21">
        <f>IF($E$14="","",LOG((F11/(1-F11))))</f>
        <v>0.49035253952169983</v>
      </c>
      <c r="J11" s="10"/>
      <c r="K11" s="23"/>
      <c r="L11" s="23"/>
      <c r="N11" s="23"/>
      <c r="O11" s="27"/>
      <c r="R11">
        <v>8</v>
      </c>
      <c r="S11" s="14" t="s">
        <v>17</v>
      </c>
      <c r="T11">
        <v>25</v>
      </c>
      <c r="U11">
        <v>26</v>
      </c>
      <c r="V11">
        <v>1</v>
      </c>
    </row>
    <row r="12" spans="1:22" x14ac:dyDescent="0.25">
      <c r="A12" s="25" t="s">
        <v>16</v>
      </c>
      <c r="B12" s="26">
        <v>3</v>
      </c>
      <c r="C12" s="17" t="s">
        <v>14</v>
      </c>
      <c r="D12" s="18">
        <v>1.0549999999999999</v>
      </c>
      <c r="E12" s="18">
        <v>1.1739999999999999</v>
      </c>
      <c r="F12" s="19">
        <f t="shared" si="0"/>
        <v>0.5678980891719746</v>
      </c>
      <c r="G12" s="20">
        <f t="shared" si="1"/>
        <v>7.5500858646208299E-2</v>
      </c>
      <c r="H12" s="21">
        <f>LOG(B12)</f>
        <v>0.47712125471966244</v>
      </c>
      <c r="I12" s="21">
        <f>IF($E$14="","",LOG((F12/(1-F12))))</f>
        <v>0.11868422055954284</v>
      </c>
      <c r="J12" s="10"/>
      <c r="K12" s="23"/>
      <c r="L12" s="23"/>
      <c r="N12" s="23"/>
      <c r="O12" s="27"/>
      <c r="R12">
        <v>9</v>
      </c>
      <c r="S12" s="14" t="s">
        <v>19</v>
      </c>
      <c r="T12">
        <v>25</v>
      </c>
      <c r="U12">
        <v>26</v>
      </c>
      <c r="V12">
        <v>1</v>
      </c>
    </row>
    <row r="13" spans="1:22" x14ac:dyDescent="0.25">
      <c r="A13" s="25" t="s">
        <v>18</v>
      </c>
      <c r="B13" s="26">
        <v>10</v>
      </c>
      <c r="C13" s="17" t="s">
        <v>14</v>
      </c>
      <c r="D13" s="18">
        <v>0.41799999999999998</v>
      </c>
      <c r="E13" s="18">
        <v>0.52</v>
      </c>
      <c r="F13" s="19">
        <f t="shared" si="0"/>
        <v>0.23898089171974521</v>
      </c>
      <c r="G13" s="20">
        <f t="shared" si="1"/>
        <v>0.15378441723033798</v>
      </c>
      <c r="H13" s="21">
        <f>LOG(B13)</f>
        <v>1</v>
      </c>
      <c r="I13" s="21">
        <f>IF($E$14="","",LOG((F13/(1-F13))))</f>
        <v>-0.5030323842250638</v>
      </c>
      <c r="J13" s="10"/>
      <c r="K13" s="23"/>
      <c r="L13" s="23"/>
      <c r="N13" s="23"/>
      <c r="O13" s="27"/>
      <c r="R13">
        <v>10</v>
      </c>
      <c r="S13" s="14" t="s">
        <v>21</v>
      </c>
      <c r="T13">
        <v>25</v>
      </c>
      <c r="U13">
        <v>26</v>
      </c>
      <c r="V13">
        <v>1</v>
      </c>
    </row>
    <row r="14" spans="1:22" x14ac:dyDescent="0.25">
      <c r="A14" s="28" t="s">
        <v>20</v>
      </c>
      <c r="B14" s="29">
        <v>40</v>
      </c>
      <c r="C14" s="59" t="s">
        <v>14</v>
      </c>
      <c r="D14" s="18">
        <v>0.106</v>
      </c>
      <c r="E14" s="18">
        <v>0.16200000000000001</v>
      </c>
      <c r="F14" s="19">
        <f t="shared" si="0"/>
        <v>6.8280254777070074E-2</v>
      </c>
      <c r="G14" s="20">
        <f t="shared" si="1"/>
        <v>0.29550731154064602</v>
      </c>
      <c r="H14" s="21">
        <f>LOG(B14)</f>
        <v>1.6020599913279623</v>
      </c>
      <c r="I14" s="21">
        <f>IF($E$14="","",LOG((F14/(1-F14))))</f>
        <v>-1.1349901663092554</v>
      </c>
      <c r="J14" s="10"/>
      <c r="K14" s="23"/>
      <c r="L14" s="23"/>
      <c r="N14" s="23"/>
      <c r="O14" s="27"/>
      <c r="R14">
        <v>11</v>
      </c>
      <c r="S14" s="14" t="s">
        <v>41</v>
      </c>
      <c r="T14">
        <v>25</v>
      </c>
      <c r="U14">
        <v>26</v>
      </c>
      <c r="V14">
        <v>1</v>
      </c>
    </row>
    <row r="15" spans="1:22" x14ac:dyDescent="0.25">
      <c r="A15" s="2"/>
      <c r="B15" s="2"/>
      <c r="C15" s="2"/>
      <c r="D15" s="2"/>
      <c r="E15" s="2"/>
      <c r="F15" s="2"/>
      <c r="G15" s="30"/>
      <c r="H15" s="2"/>
      <c r="I15" s="2"/>
      <c r="J15" s="31"/>
      <c r="K15" s="31"/>
      <c r="L15" s="31"/>
      <c r="M15" s="2"/>
      <c r="N15" s="2"/>
      <c r="O15" s="31"/>
      <c r="R15">
        <v>12</v>
      </c>
      <c r="S15" s="14" t="s">
        <v>42</v>
      </c>
      <c r="T15">
        <v>25</v>
      </c>
      <c r="U15">
        <v>26</v>
      </c>
      <c r="V15">
        <v>1</v>
      </c>
    </row>
    <row r="16" spans="1:22" x14ac:dyDescent="0.25">
      <c r="A16" s="2"/>
      <c r="B16" s="2"/>
      <c r="C16" s="2"/>
      <c r="D16" s="2"/>
      <c r="E16" s="2"/>
      <c r="F16" s="2"/>
      <c r="G16" s="32" t="s">
        <v>39</v>
      </c>
      <c r="H16" s="61">
        <f>CORREL(I11:I14,H11:H14)</f>
        <v>-0.99736156761837669</v>
      </c>
      <c r="I16" s="13"/>
      <c r="J16" s="2"/>
      <c r="K16" s="2"/>
      <c r="L16" s="2"/>
      <c r="M16" s="2"/>
      <c r="N16" s="2"/>
      <c r="O16" s="2"/>
      <c r="R16">
        <v>13</v>
      </c>
      <c r="S16" s="14" t="s">
        <v>40</v>
      </c>
      <c r="T16">
        <v>25</v>
      </c>
      <c r="U16">
        <v>26</v>
      </c>
      <c r="V16">
        <v>0.57999999999999996</v>
      </c>
    </row>
    <row r="17" spans="1:15" x14ac:dyDescent="0.25">
      <c r="A17" s="2"/>
      <c r="B17" s="2"/>
      <c r="C17" s="2"/>
      <c r="D17" s="2"/>
      <c r="E17" s="2"/>
      <c r="F17" s="2"/>
      <c r="G17" s="33"/>
      <c r="H17" s="60"/>
      <c r="I17" s="34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5"/>
    </row>
    <row r="19" spans="1:15" ht="16.5" thickBot="1" x14ac:dyDescent="0.3">
      <c r="A19" s="1" t="s">
        <v>22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40.5" customHeight="1" x14ac:dyDescent="0.25">
      <c r="A20" s="36" t="s">
        <v>23</v>
      </c>
      <c r="B20" s="101" t="s">
        <v>24</v>
      </c>
      <c r="C20" s="101"/>
      <c r="D20" s="99" t="s">
        <v>25</v>
      </c>
      <c r="E20" s="102"/>
      <c r="F20" s="37" t="s">
        <v>26</v>
      </c>
      <c r="G20" s="37" t="s">
        <v>27</v>
      </c>
      <c r="H20" s="9" t="s">
        <v>28</v>
      </c>
      <c r="I20" s="37" t="s">
        <v>10</v>
      </c>
      <c r="J20" s="9" t="s">
        <v>29</v>
      </c>
      <c r="K20" s="9"/>
      <c r="L20" s="38" t="s">
        <v>30</v>
      </c>
      <c r="M20" s="105" t="s">
        <v>43</v>
      </c>
      <c r="N20" s="106"/>
      <c r="O20" s="39" t="s">
        <v>31</v>
      </c>
    </row>
    <row r="21" spans="1:15" x14ac:dyDescent="0.25">
      <c r="A21" s="40" t="s">
        <v>13</v>
      </c>
      <c r="B21" s="87" t="s">
        <v>7</v>
      </c>
      <c r="C21" s="87"/>
      <c r="D21" s="88"/>
      <c r="E21" s="89"/>
      <c r="F21" s="41"/>
      <c r="G21" s="42">
        <f>AVERAGE(D10:E10)</f>
        <v>1.9624999999999999</v>
      </c>
      <c r="H21" s="43"/>
      <c r="I21" s="43"/>
      <c r="J21" s="44"/>
      <c r="K21" s="44"/>
      <c r="L21" s="45"/>
      <c r="M21" s="46"/>
      <c r="N21" s="47"/>
      <c r="O21" s="48"/>
    </row>
    <row r="22" spans="1:15" x14ac:dyDescent="0.25">
      <c r="A22" s="40" t="s">
        <v>15</v>
      </c>
      <c r="B22" s="87" t="s">
        <v>7</v>
      </c>
      <c r="C22" s="87"/>
      <c r="D22" s="88"/>
      <c r="E22" s="89"/>
      <c r="F22" s="41"/>
      <c r="G22" s="42">
        <f>AVERAGE(D11:E11)</f>
        <v>1.4830000000000001</v>
      </c>
      <c r="H22" s="43">
        <f>IF(G22="","",LOG(((G22/G$21)/(1-(G22/G$21)))))</f>
        <v>0.49035253952169983</v>
      </c>
      <c r="I22" s="43"/>
      <c r="J22" s="21">
        <f>ROUND(10^((H22-INTERCEPT($I$11:$I$14,$H$11:$H$14))/SLOPE($I$11:$I$14,$H$11:$H$14)),2)</f>
        <v>1.1100000000000001</v>
      </c>
      <c r="K22" s="21"/>
      <c r="L22" s="49"/>
      <c r="M22" s="90">
        <f>ROUND(J22,1)</f>
        <v>1.1000000000000001</v>
      </c>
      <c r="N22" s="91"/>
      <c r="O22" s="50"/>
    </row>
    <row r="23" spans="1:15" x14ac:dyDescent="0.25">
      <c r="A23" s="40" t="s">
        <v>16</v>
      </c>
      <c r="B23" s="87" t="s">
        <v>7</v>
      </c>
      <c r="C23" s="87"/>
      <c r="D23" s="88"/>
      <c r="E23" s="89"/>
      <c r="F23" s="41"/>
      <c r="G23" s="42">
        <f>AVERAGE(D12:E12)</f>
        <v>1.1145</v>
      </c>
      <c r="H23" s="43">
        <f>IF(G23="","",LOG(((G23/G$21)/(1-(G23/G$21)))))</f>
        <v>0.11868422055954284</v>
      </c>
      <c r="I23" s="43"/>
      <c r="J23" s="21">
        <f>ROUND(10^((H23-INTERCEPT($I$11:$I$14,$H$11:$H$14))/SLOPE($I$11:$I$14,$H$11:$H$14)),2)</f>
        <v>2.5499999999999998</v>
      </c>
      <c r="K23" s="21"/>
      <c r="L23" s="49"/>
      <c r="M23" s="90">
        <f>ROUND(J23,1)</f>
        <v>2.6</v>
      </c>
      <c r="N23" s="91"/>
      <c r="O23" s="50"/>
    </row>
    <row r="24" spans="1:15" x14ac:dyDescent="0.25">
      <c r="A24" s="40" t="s">
        <v>18</v>
      </c>
      <c r="B24" s="87" t="s">
        <v>7</v>
      </c>
      <c r="C24" s="87"/>
      <c r="D24" s="88"/>
      <c r="E24" s="89"/>
      <c r="F24" s="41"/>
      <c r="G24" s="42">
        <f>AVERAGE(D13:E13)</f>
        <v>0.46899999999999997</v>
      </c>
      <c r="H24" s="43">
        <f>IF(G24="","",LOG(((G24/G$21)/(1-(G24/G$21)))))</f>
        <v>-0.5030323842250638</v>
      </c>
      <c r="I24" s="43"/>
      <c r="J24" s="21">
        <f>ROUND(10^((H24-INTERCEPT($I$11:$I$14,$H$11:$H$14))/SLOPE($I$11:$I$14,$H$11:$H$14)),2)</f>
        <v>10.17</v>
      </c>
      <c r="K24" s="21"/>
      <c r="L24" s="49"/>
      <c r="M24" s="90">
        <f>ROUND(J24,1)</f>
        <v>10.199999999999999</v>
      </c>
      <c r="N24" s="91"/>
      <c r="O24" s="50"/>
    </row>
    <row r="25" spans="1:15" x14ac:dyDescent="0.25">
      <c r="A25" s="40" t="s">
        <v>20</v>
      </c>
      <c r="B25" s="87" t="s">
        <v>7</v>
      </c>
      <c r="C25" s="87"/>
      <c r="D25" s="88"/>
      <c r="E25" s="89"/>
      <c r="F25" s="41"/>
      <c r="G25" s="42">
        <f>AVERAGE(D14:E14)</f>
        <v>0.13400000000000001</v>
      </c>
      <c r="H25" s="43">
        <f>IF(G25="","",LOG(((G25/G$21)/(1-(G25/G$21)))))</f>
        <v>-1.1349901663092554</v>
      </c>
      <c r="I25" s="43"/>
      <c r="J25" s="21">
        <f>ROUND(10^((H25-INTERCEPT($I$11:$I$14,$H$11:$H$14))/SLOPE($I$11:$I$14,$H$11:$H$14)),2)</f>
        <v>41.54</v>
      </c>
      <c r="K25" s="21"/>
      <c r="L25" s="49"/>
      <c r="M25" s="90">
        <f>ROUND(J25,1)</f>
        <v>41.5</v>
      </c>
      <c r="N25" s="91"/>
      <c r="O25" s="50"/>
    </row>
    <row r="26" spans="1:15" x14ac:dyDescent="0.25">
      <c r="A26" s="40"/>
      <c r="B26" s="87"/>
      <c r="C26" s="87"/>
      <c r="D26" s="88"/>
      <c r="E26" s="89"/>
      <c r="F26" s="51"/>
      <c r="G26" s="52"/>
      <c r="H26" s="43"/>
      <c r="I26" s="43"/>
      <c r="J26" s="44"/>
      <c r="K26" s="44"/>
      <c r="L26" s="45"/>
      <c r="M26" s="53"/>
      <c r="N26" s="54"/>
      <c r="O26" s="55"/>
    </row>
    <row r="27" spans="1:15" x14ac:dyDescent="0.25">
      <c r="A27" s="67">
        <v>1</v>
      </c>
      <c r="B27" s="69"/>
      <c r="C27" s="70"/>
      <c r="D27" s="73">
        <v>3</v>
      </c>
      <c r="E27" s="74"/>
      <c r="F27" s="75">
        <f>VLOOKUP(D27,$R$4:$V$16,5,FALSE)</f>
        <v>1</v>
      </c>
      <c r="G27" s="56">
        <v>2.9</v>
      </c>
      <c r="H27" s="43" t="str">
        <f>IF(G27="","",IF(G27&gt;G$21,"менее 2,0",LOG(((G27/G$21)/(1-(G27/G$21))))))</f>
        <v>менее 2,0</v>
      </c>
      <c r="I27" s="77">
        <f>IF(OR(G28="",G27=""),"",STDEV(G27:G28)/AVERAGE(G27:G28))</f>
        <v>0</v>
      </c>
      <c r="J27" s="21" t="str">
        <f>IF(OR(G27="",H27=""),"",IF($G$21/G27&lt;1,"менее 2,0",IF(10^((H27-INTERCEPT($I$11:$I$14,$H$11:$H$14))/SLOPE($I$11:$I$14,$H$11:$H$14))&gt;$B$14,"более "&amp;$B$14&amp;",0",IF(10^((H27-INTERCEPT($I$11:$I$14,$H$11:$H$14))/SLOPE($I$11:$I$14,$H$11:$H$14))&lt;2,"менее 2,0",ROUND(10^((H27-INTERCEPT($I$11:$I$14,$H$11:$H$14))/SLOPE($I$11:$I$14,$H$11:$H$14))*F27,2)))))</f>
        <v>менее 2,0</v>
      </c>
      <c r="K27" s="57" t="e">
        <f>ABS(J27-J28)</f>
        <v>#VALUE!</v>
      </c>
      <c r="L27" s="79" t="str">
        <f>IF(M27="","",IF(M27="более "&amp;$B$14&amp;",0","",IF(M27="менее 2,0","",IF((200*K27)/(J27+J28)&lt;=K28,"приемлемо","неприемлемо"))))</f>
        <v/>
      </c>
      <c r="M27" s="81" t="str">
        <f>IF(OR(J27="",J28=""),"",IF(OR(J27="менее 2,0",J28="менее 2,0"),"менее 2,0",IF(OR(J27="более "&amp;$B$14&amp;",0",J28="более "&amp;$B$14&amp;",0"),"более "&amp;$B$14&amp;",0",ROUND(AVERAGE(J27:J28),1))))</f>
        <v>менее 2,0</v>
      </c>
      <c r="N27" s="83" t="str">
        <f>IF(M27="","",IF(OR(D27=12,D27=13),"",IF(M27="более "&amp;$B$14&amp;",0","",IF(M27="менее 2,0","",0.01*M27*VLOOKUP(D27,$R$4:$U$16,4,FALSE)))))</f>
        <v/>
      </c>
      <c r="O27" s="85"/>
    </row>
    <row r="28" spans="1:15" x14ac:dyDescent="0.25">
      <c r="A28" s="68"/>
      <c r="B28" s="71"/>
      <c r="C28" s="72"/>
      <c r="D28" s="73"/>
      <c r="E28" s="74"/>
      <c r="F28" s="76"/>
      <c r="G28" s="56">
        <v>2.9</v>
      </c>
      <c r="H28" s="43" t="str">
        <f>IF(G28="","",IF(G28&gt;G$21,"менее 2,0",LOG(((G28/G$21)/(1-(G28/G$21))))))</f>
        <v>менее 2,0</v>
      </c>
      <c r="I28" s="78" t="e">
        <f t="shared" ref="I28:I64" si="2">IF(G28=H28,"0,0%",STDEV(G28:H28)/AVERAGE(G28:H28))</f>
        <v>#DIV/0!</v>
      </c>
      <c r="J28" s="21" t="str">
        <f>IF(OR(G28="",H28=""),"",IF($G$21/G28&lt;1,"менее 2,0",IF(10^((H28-INTERCEPT($I$11:$I$14,$H$11:$H$14))/SLOPE($I$11:$I$14,$H$11:$H$14))&gt;$B$14,"более "&amp;$B$14&amp;",0",IF(10^((H28-INTERCEPT($I$11:$I$14,$H$11:$H$14))/SLOPE($I$11:$I$14,$H$11:$H$14))&lt;2,"менее 2,0",ROUND(10^((H28-INTERCEPT($I$11:$I$14,$H$11:$H$14))/SLOPE($I$11:$I$14,$H$11:$H$14))*F27,2)))))</f>
        <v>менее 2,0</v>
      </c>
      <c r="K28" s="58">
        <f>IF(OR(J27="",J28=""),"",VLOOKUP(D27,$R$4:$V$16,3,FALSE))</f>
        <v>25</v>
      </c>
      <c r="L28" s="80"/>
      <c r="M28" s="82"/>
      <c r="N28" s="84"/>
      <c r="O28" s="86"/>
    </row>
    <row r="29" spans="1:15" x14ac:dyDescent="0.25">
      <c r="A29" s="67">
        <v>2</v>
      </c>
      <c r="B29" s="69"/>
      <c r="C29" s="70"/>
      <c r="D29" s="73">
        <v>13</v>
      </c>
      <c r="E29" s="74"/>
      <c r="F29" s="75">
        <f t="shared" ref="F29" si="3">VLOOKUP(D29,$R$4:$V$16,5,FALSE)</f>
        <v>0.57999999999999996</v>
      </c>
      <c r="G29" s="56">
        <v>0.498</v>
      </c>
      <c r="H29" s="43">
        <f t="shared" ref="H29:H66" si="4">IF(G29="","",IF(G29&gt;G$21,"менее 2,0",LOG(((G29/G$21)/(1-(G29/G$21))))))</f>
        <v>-0.46846003325789987</v>
      </c>
      <c r="I29" s="77">
        <f>IF(OR(G30="",G29=""),"",STDEV(G29:G30)/AVERAGE(G29:G30))</f>
        <v>3.0562572074860628E-2</v>
      </c>
      <c r="J29" s="21">
        <f>IF(OR(G29="",H29=""),"",IF($G$21/G29&lt;1,"менее 2,0",IF(10^((H29-INTERCEPT($I$11:$I$14,$H$11:$H$14))/SLOPE($I$11:$I$14,$H$11:$H$14))&gt;$B$14,"более "&amp;$B$14&amp;",0",IF(10^((H29-INTERCEPT($I$11:$I$14,$H$11:$H$14))/SLOPE($I$11:$I$14,$H$11:$H$14))&lt;2,"менее 2,0",ROUND(10^((H29-INTERCEPT($I$11:$I$14,$H$11:$H$14))/SLOPE($I$11:$I$14,$H$11:$H$14))*F29,2)))))</f>
        <v>5.46</v>
      </c>
      <c r="K29" s="57">
        <f>ABS(J29-J30)</f>
        <v>0.29999999999999982</v>
      </c>
      <c r="L29" s="79" t="str">
        <f t="shared" ref="L29" si="5">IF(M29="","",IF(M29="более "&amp;$B$14&amp;",0","",IF(M29="менее 2,0","",IF((200*K29)/(J29+J30)&lt;=K30,"приемлемо","неприемлемо"))))</f>
        <v>приемлемо</v>
      </c>
      <c r="M29" s="81">
        <f t="shared" ref="M29" si="6">IF(OR(J29="",J30=""),"",IF(OR(J29="менее 2,0",J30="менее 2,0"),"менее 2,0",IF(OR(J29="более "&amp;$B$14&amp;",0",J30="более "&amp;$B$14&amp;",0"),"более "&amp;$B$14&amp;",0",ROUND(AVERAGE(J29:J30),1))))</f>
        <v>5.3</v>
      </c>
      <c r="N29" s="83">
        <f>IF(M29="","",IF(M29="более "&amp;$B$14&amp;",0","",IF(M29="менее 2,0","",0.01*M29*VLOOKUP(D29,$R$4:$U$16,4,FALSE))))</f>
        <v>1.3779999999999999</v>
      </c>
      <c r="O29" s="85"/>
    </row>
    <row r="30" spans="1:15" x14ac:dyDescent="0.25">
      <c r="A30" s="68"/>
      <c r="B30" s="71"/>
      <c r="C30" s="72"/>
      <c r="D30" s="73">
        <v>14</v>
      </c>
      <c r="E30" s="74"/>
      <c r="F30" s="76"/>
      <c r="G30" s="56">
        <v>0.52</v>
      </c>
      <c r="H30" s="43">
        <f t="shared" si="4"/>
        <v>-0.44311247819296995</v>
      </c>
      <c r="I30" s="78">
        <f t="shared" si="2"/>
        <v>17.71479554471378</v>
      </c>
      <c r="J30" s="21">
        <f>IF(OR(G30="",H30=""),"",IF($G$21/G30&lt;1,"менее 2,0",IF(10^((H30-INTERCEPT($I$11:$I$14,$H$11:$H$14))/SLOPE($I$11:$I$14,$H$11:$H$14))&gt;$B$14,"более "&amp;$B$14&amp;",0",IF(10^((H30-INTERCEPT($I$11:$I$14,$H$11:$H$14))/SLOPE($I$11:$I$14,$H$11:$H$14))&lt;2,"менее 2,0",ROUND(10^((H30-INTERCEPT($I$11:$I$14,$H$11:$H$14))/SLOPE($I$11:$I$14,$H$11:$H$14))*F29,2)))))</f>
        <v>5.16</v>
      </c>
      <c r="K30" s="58">
        <f>IF(OR(J29="",J30=""),"",VLOOKUP(D29,$R$4:$V$16,3,FALSE))</f>
        <v>25</v>
      </c>
      <c r="L30" s="80"/>
      <c r="M30" s="82"/>
      <c r="N30" s="84"/>
      <c r="O30" s="86"/>
    </row>
    <row r="31" spans="1:15" x14ac:dyDescent="0.25">
      <c r="A31" s="67">
        <v>3</v>
      </c>
      <c r="B31" s="69"/>
      <c r="C31" s="70"/>
      <c r="D31" s="73">
        <v>11</v>
      </c>
      <c r="E31" s="74"/>
      <c r="F31" s="75">
        <f t="shared" ref="F31" si="7">VLOOKUP(D31,$R$4:$V$16,5,FALSE)</f>
        <v>1</v>
      </c>
      <c r="G31" s="56">
        <v>0.498</v>
      </c>
      <c r="H31" s="43">
        <f t="shared" si="4"/>
        <v>-0.46846003325789987</v>
      </c>
      <c r="I31" s="77">
        <f>IF(OR(G32="",G31=""),"",STDEV(G31:G32)/AVERAGE(G31:G32))</f>
        <v>3.0562572074860628E-2</v>
      </c>
      <c r="J31" s="21">
        <f>IF(OR(G31="",H31=""),"",IF($G$21/G31&lt;1,"менее 2,0",IF(10^((H31-INTERCEPT($I$11:$I$14,$H$11:$H$14))/SLOPE($I$11:$I$14,$H$11:$H$14))&gt;$B$14,"более "&amp;$B$14&amp;",0",IF(10^((H31-INTERCEPT($I$11:$I$14,$H$11:$H$14))/SLOPE($I$11:$I$14,$H$11:$H$14))&lt;2,"менее 2,0",ROUND(10^((H31-INTERCEPT($I$11:$I$14,$H$11:$H$14))/SLOPE($I$11:$I$14,$H$11:$H$14))*F31,2)))))</f>
        <v>9.42</v>
      </c>
      <c r="K31" s="57">
        <f>ABS(J31-J32)</f>
        <v>0.51999999999999957</v>
      </c>
      <c r="L31" s="79" t="str">
        <f t="shared" ref="L31" si="8">IF(M31="","",IF(M31="более "&amp;$B$14&amp;",0","",IF(M31="менее 2,0","",IF((200*K31)/(J31+J32)&lt;=K32,"приемлемо","неприемлемо"))))</f>
        <v>приемлемо</v>
      </c>
      <c r="M31" s="81">
        <f t="shared" ref="M31" si="9">IF(OR(J31="",J32=""),"",IF(OR(J31="менее 2,0",J32="менее 2,0"),"менее 2,0",IF(OR(J31="более "&amp;$B$14&amp;",0",J32="более "&amp;$B$14&amp;",0"),"более "&amp;$B$14&amp;",0",ROUND(AVERAGE(J31:J32),1))))</f>
        <v>9.1999999999999993</v>
      </c>
      <c r="N31" s="83">
        <f>IF(M31="","",IF(M31="более "&amp;$B$14&amp;",0","",IF(M31="менее 2,0","",0.01*M31*VLOOKUP(D31,$R$4:$U$16,4,FALSE))))</f>
        <v>2.3919999999999999</v>
      </c>
      <c r="O31" s="85"/>
    </row>
    <row r="32" spans="1:15" x14ac:dyDescent="0.25">
      <c r="A32" s="68"/>
      <c r="B32" s="71"/>
      <c r="C32" s="72"/>
      <c r="D32" s="73">
        <v>16</v>
      </c>
      <c r="E32" s="74"/>
      <c r="F32" s="76"/>
      <c r="G32" s="56">
        <v>0.52</v>
      </c>
      <c r="H32" s="43">
        <f t="shared" si="4"/>
        <v>-0.44311247819296995</v>
      </c>
      <c r="I32" s="78">
        <f t="shared" si="2"/>
        <v>17.71479554471378</v>
      </c>
      <c r="J32" s="21">
        <f>IF(OR(G32="",H32=""),"",IF($G$21/G32&lt;1,"менее 2,0",IF(10^((H32-INTERCEPT($I$11:$I$14,$H$11:$H$14))/SLOPE($I$11:$I$14,$H$11:$H$14))&gt;$B$14,"более "&amp;$B$14&amp;",0",IF(10^((H32-INTERCEPT($I$11:$I$14,$H$11:$H$14))/SLOPE($I$11:$I$14,$H$11:$H$14))&lt;2,"менее 2,0",ROUND(10^((H32-INTERCEPT($I$11:$I$14,$H$11:$H$14))/SLOPE($I$11:$I$14,$H$11:$H$14))*F31,2)))))</f>
        <v>8.9</v>
      </c>
      <c r="K32" s="58">
        <f>IF(OR(J31="",J32=""),"",VLOOKUP(D31,$R$4:$V$16,3,FALSE))</f>
        <v>25</v>
      </c>
      <c r="L32" s="80"/>
      <c r="M32" s="82"/>
      <c r="N32" s="84"/>
      <c r="O32" s="86"/>
    </row>
    <row r="33" spans="1:15" x14ac:dyDescent="0.25">
      <c r="A33" s="67">
        <v>4</v>
      </c>
      <c r="B33" s="69"/>
      <c r="C33" s="70"/>
      <c r="D33" s="73">
        <v>11</v>
      </c>
      <c r="E33" s="74"/>
      <c r="F33" s="75">
        <f t="shared" ref="F33" si="10">VLOOKUP(D33,$R$4:$V$16,5,FALSE)</f>
        <v>1</v>
      </c>
      <c r="G33" s="56">
        <v>0.498</v>
      </c>
      <c r="H33" s="43">
        <f t="shared" si="4"/>
        <v>-0.46846003325789987</v>
      </c>
      <c r="I33" s="77">
        <f>IF(OR(G34="",G33=""),"",STDEV(G33:G34)/AVERAGE(G33:G34))</f>
        <v>3.0562572074860628E-2</v>
      </c>
      <c r="J33" s="21">
        <f>IF(OR(G33="",H33=""),"",IF($G$21/G33&lt;1,"менее 2,0",IF(10^((H33-INTERCEPT($I$11:$I$14,$H$11:$H$14))/SLOPE($I$11:$I$14,$H$11:$H$14))&gt;$B$14,"более "&amp;$B$14&amp;",0",IF(10^((H33-INTERCEPT($I$11:$I$14,$H$11:$H$14))/SLOPE($I$11:$I$14,$H$11:$H$14))&lt;2,"менее 2,0",ROUND(10^((H33-INTERCEPT($I$11:$I$14,$H$11:$H$14))/SLOPE($I$11:$I$14,$H$11:$H$14))*F33,2)))))</f>
        <v>9.42</v>
      </c>
      <c r="K33" s="57">
        <f>ABS(J33-J34)</f>
        <v>0.51999999999999957</v>
      </c>
      <c r="L33" s="79" t="str">
        <f t="shared" ref="L33" si="11">IF(M33="","",IF(M33="более "&amp;$B$14&amp;",0","",IF(M33="менее 2,0","",IF((200*K33)/(J33+J34)&lt;=K34,"приемлемо","неприемлемо"))))</f>
        <v>приемлемо</v>
      </c>
      <c r="M33" s="81">
        <f t="shared" ref="M33" si="12">IF(OR(J33="",J34=""),"",IF(OR(J33="менее 2,0",J34="менее 2,0"),"менее 2,0",IF(OR(J33="более "&amp;$B$14&amp;",0",J34="более "&amp;$B$14&amp;",0"),"более "&amp;$B$14&amp;",0",ROUND(AVERAGE(J33:J34),1))))</f>
        <v>9.1999999999999993</v>
      </c>
      <c r="N33" s="83">
        <f>IF(M33="","",IF(M33="более "&amp;$B$14&amp;",0","",IF(M33="менее 2,0","",0.01*M33*VLOOKUP(D33,$R$4:$U$16,4,FALSE))))</f>
        <v>2.3919999999999999</v>
      </c>
      <c r="O33" s="85"/>
    </row>
    <row r="34" spans="1:15" x14ac:dyDescent="0.25">
      <c r="A34" s="68"/>
      <c r="B34" s="71"/>
      <c r="C34" s="72"/>
      <c r="D34" s="73">
        <v>18</v>
      </c>
      <c r="E34" s="74"/>
      <c r="F34" s="76"/>
      <c r="G34" s="56">
        <v>0.52</v>
      </c>
      <c r="H34" s="43">
        <f t="shared" si="4"/>
        <v>-0.44311247819296995</v>
      </c>
      <c r="I34" s="78">
        <f t="shared" si="2"/>
        <v>17.71479554471378</v>
      </c>
      <c r="J34" s="21">
        <f>IF(OR(G34="",H34=""),"",IF($G$21/G34&lt;1,"менее 2,0",IF(10^((H34-INTERCEPT($I$11:$I$14,$H$11:$H$14))/SLOPE($I$11:$I$14,$H$11:$H$14))&gt;$B$14,"более "&amp;$B$14&amp;",0",IF(10^((H34-INTERCEPT($I$11:$I$14,$H$11:$H$14))/SLOPE($I$11:$I$14,$H$11:$H$14))&lt;2,"менее 2,0",ROUND(10^((H34-INTERCEPT($I$11:$I$14,$H$11:$H$14))/SLOPE($I$11:$I$14,$H$11:$H$14))*F33,2)))))</f>
        <v>8.9</v>
      </c>
      <c r="K34" s="58">
        <f>IF(OR(J33="",J34=""),"",VLOOKUP(D33,$R$4:$V$16,3,FALSE))</f>
        <v>25</v>
      </c>
      <c r="L34" s="80"/>
      <c r="M34" s="82"/>
      <c r="N34" s="84"/>
      <c r="O34" s="86"/>
    </row>
    <row r="35" spans="1:15" x14ac:dyDescent="0.25">
      <c r="A35" s="67">
        <v>5</v>
      </c>
      <c r="B35" s="69"/>
      <c r="C35" s="70"/>
      <c r="D35" s="73">
        <v>10</v>
      </c>
      <c r="E35" s="74"/>
      <c r="F35" s="75">
        <f t="shared" ref="F35" si="13">VLOOKUP(D35,$R$4:$V$16,5,FALSE)</f>
        <v>1</v>
      </c>
      <c r="G35" s="56">
        <v>0.498</v>
      </c>
      <c r="H35" s="43">
        <f t="shared" si="4"/>
        <v>-0.46846003325789987</v>
      </c>
      <c r="I35" s="77">
        <f>IF(OR(G36="",G35=""),"",STDEV(G35:G36)/AVERAGE(G35:G36))</f>
        <v>3.0562572074860628E-2</v>
      </c>
      <c r="J35" s="21">
        <f>IF(OR(G35="",H35=""),"",IF($G$21/G35&lt;1,"менее 2,0",IF(10^((H35-INTERCEPT($I$11:$I$14,$H$11:$H$14))/SLOPE($I$11:$I$14,$H$11:$H$14))&gt;$B$14,"более "&amp;$B$14&amp;",0",IF(10^((H35-INTERCEPT($I$11:$I$14,$H$11:$H$14))/SLOPE($I$11:$I$14,$H$11:$H$14))&lt;2,"менее 2,0",ROUND(10^((H35-INTERCEPT($I$11:$I$14,$H$11:$H$14))/SLOPE($I$11:$I$14,$H$11:$H$14))*F35,2)))))</f>
        <v>9.42</v>
      </c>
      <c r="K35" s="57">
        <f>ABS(J35-J36)</f>
        <v>0.51999999999999957</v>
      </c>
      <c r="L35" s="79" t="str">
        <f t="shared" ref="L35" si="14">IF(M35="","",IF(M35="более "&amp;$B$14&amp;",0","",IF(M35="менее 2,0","",IF((200*K35)/(J35+J36)&lt;=K36,"приемлемо","неприемлемо"))))</f>
        <v>приемлемо</v>
      </c>
      <c r="M35" s="81">
        <f t="shared" ref="M35" si="15">IF(OR(J35="",J36=""),"",IF(OR(J35="менее 2,0",J36="менее 2,0"),"менее 2,0",IF(OR(J35="более "&amp;$B$14&amp;",0",J36="более "&amp;$B$14&amp;",0"),"более "&amp;$B$14&amp;",0",ROUND(AVERAGE(J35:J36),1))))</f>
        <v>9.1999999999999993</v>
      </c>
      <c r="N35" s="83">
        <f>IF(M35="","",IF(M35="более "&amp;$B$14&amp;",0","",IF(M35="менее 2,0","",0.01*M35*VLOOKUP(D35,$R$4:$U$16,4,FALSE))))</f>
        <v>2.3919999999999999</v>
      </c>
      <c r="O35" s="85"/>
    </row>
    <row r="36" spans="1:15" x14ac:dyDescent="0.25">
      <c r="A36" s="68"/>
      <c r="B36" s="71"/>
      <c r="C36" s="72"/>
      <c r="D36" s="73">
        <v>20</v>
      </c>
      <c r="E36" s="74"/>
      <c r="F36" s="76"/>
      <c r="G36" s="56">
        <v>0.52</v>
      </c>
      <c r="H36" s="43">
        <f t="shared" si="4"/>
        <v>-0.44311247819296995</v>
      </c>
      <c r="I36" s="78">
        <f t="shared" si="2"/>
        <v>17.71479554471378</v>
      </c>
      <c r="J36" s="21">
        <f>IF(OR(G36="",H36=""),"",IF($G$21/G36&lt;1,"менее 2,0",IF(10^((H36-INTERCEPT($I$11:$I$14,$H$11:$H$14))/SLOPE($I$11:$I$14,$H$11:$H$14))&gt;$B$14,"более "&amp;$B$14&amp;",0",IF(10^((H36-INTERCEPT($I$11:$I$14,$H$11:$H$14))/SLOPE($I$11:$I$14,$H$11:$H$14))&lt;2,"менее 2,0",ROUND(10^((H36-INTERCEPT($I$11:$I$14,$H$11:$H$14))/SLOPE($I$11:$I$14,$H$11:$H$14))*F35,2)))))</f>
        <v>8.9</v>
      </c>
      <c r="K36" s="58">
        <f>IF(OR(J35="",J36=""),"",VLOOKUP(D35,$R$4:$V$16,3,FALSE))</f>
        <v>25</v>
      </c>
      <c r="L36" s="80"/>
      <c r="M36" s="82"/>
      <c r="N36" s="84"/>
      <c r="O36" s="86"/>
    </row>
    <row r="37" spans="1:15" x14ac:dyDescent="0.25">
      <c r="A37" s="67">
        <v>6</v>
      </c>
      <c r="B37" s="69"/>
      <c r="C37" s="70"/>
      <c r="D37" s="73">
        <v>6</v>
      </c>
      <c r="E37" s="74"/>
      <c r="F37" s="75">
        <f t="shared" ref="F37" si="16">VLOOKUP(D37,$R$4:$V$16,5,FALSE)</f>
        <v>1</v>
      </c>
      <c r="G37" s="56">
        <v>0.498</v>
      </c>
      <c r="H37" s="43">
        <f t="shared" si="4"/>
        <v>-0.46846003325789987</v>
      </c>
      <c r="I37" s="77">
        <f>IF(OR(G38="",G37=""),"",STDEV(G37:G38)/AVERAGE(G37:G38))</f>
        <v>3.0562572074860628E-2</v>
      </c>
      <c r="J37" s="21">
        <f>IF(OR(G37="",H37=""),"",IF($G$21/G37&lt;1,"менее 2,0",IF(10^((H37-INTERCEPT($I$11:$I$14,$H$11:$H$14))/SLOPE($I$11:$I$14,$H$11:$H$14))&gt;$B$14,"более "&amp;$B$14&amp;",0",IF(10^((H37-INTERCEPT($I$11:$I$14,$H$11:$H$14))/SLOPE($I$11:$I$14,$H$11:$H$14))&lt;2,"менее 2,0",ROUND(10^((H37-INTERCEPT($I$11:$I$14,$H$11:$H$14))/SLOPE($I$11:$I$14,$H$11:$H$14))*F37,2)))))</f>
        <v>9.42</v>
      </c>
      <c r="K37" s="57">
        <f>ABS(J37-J38)</f>
        <v>0.51999999999999957</v>
      </c>
      <c r="L37" s="79" t="str">
        <f t="shared" ref="L37" si="17">IF(M37="","",IF(M37="более "&amp;$B$14&amp;",0","",IF(M37="менее 2,0","",IF((200*K37)/(J37+J38)&lt;=K38,"приемлемо","неприемлемо"))))</f>
        <v>приемлемо</v>
      </c>
      <c r="M37" s="81">
        <f t="shared" ref="M37" si="18">IF(OR(J37="",J38=""),"",IF(OR(J37="менее 2,0",J38="менее 2,0"),"менее 2,0",IF(OR(J37="более "&amp;$B$14&amp;",0",J38="более "&amp;$B$14&amp;",0"),"более "&amp;$B$14&amp;",0",ROUND(AVERAGE(J37:J38),1))))</f>
        <v>9.1999999999999993</v>
      </c>
      <c r="N37" s="83">
        <f>IF(M37="","",IF(M37="более "&amp;$B$14&amp;",0","",IF(M37="менее 2,0","",0.01*M37*VLOOKUP(D37,$R$4:$U$16,4,FALSE))))</f>
        <v>2.3919999999999999</v>
      </c>
      <c r="O37" s="85"/>
    </row>
    <row r="38" spans="1:15" x14ac:dyDescent="0.25">
      <c r="A38" s="68"/>
      <c r="B38" s="71"/>
      <c r="C38" s="72"/>
      <c r="D38" s="73"/>
      <c r="E38" s="74"/>
      <c r="F38" s="76"/>
      <c r="G38" s="56">
        <v>0.52</v>
      </c>
      <c r="H38" s="43">
        <f t="shared" si="4"/>
        <v>-0.44311247819296995</v>
      </c>
      <c r="I38" s="78">
        <f t="shared" si="2"/>
        <v>17.71479554471378</v>
      </c>
      <c r="J38" s="21">
        <f>IF(OR(G38="",H38=""),"",IF($G$21/G38&lt;1,"менее 2,0",IF(10^((H38-INTERCEPT($I$11:$I$14,$H$11:$H$14))/SLOPE($I$11:$I$14,$H$11:$H$14))&gt;$B$14,"более "&amp;$B$14&amp;",0",IF(10^((H38-INTERCEPT($I$11:$I$14,$H$11:$H$14))/SLOPE($I$11:$I$14,$H$11:$H$14))&lt;2,"менее 2,0",ROUND(10^((H38-INTERCEPT($I$11:$I$14,$H$11:$H$14))/SLOPE($I$11:$I$14,$H$11:$H$14))*F37,2)))))</f>
        <v>8.9</v>
      </c>
      <c r="K38" s="58">
        <f>IF(OR(J37="",J38=""),"",VLOOKUP(D37,$R$4:$V$16,3,FALSE))</f>
        <v>25</v>
      </c>
      <c r="L38" s="80"/>
      <c r="M38" s="82"/>
      <c r="N38" s="84"/>
      <c r="O38" s="86"/>
    </row>
    <row r="39" spans="1:15" x14ac:dyDescent="0.25">
      <c r="A39" s="67">
        <v>7</v>
      </c>
      <c r="B39" s="69"/>
      <c r="C39" s="70"/>
      <c r="D39" s="73">
        <v>3</v>
      </c>
      <c r="E39" s="74"/>
      <c r="F39" s="75">
        <f t="shared" ref="F39" si="19">VLOOKUP(D39,$R$4:$V$16,5,FALSE)</f>
        <v>1</v>
      </c>
      <c r="G39" s="56">
        <v>0.498</v>
      </c>
      <c r="H39" s="43">
        <f t="shared" si="4"/>
        <v>-0.46846003325789987</v>
      </c>
      <c r="I39" s="77">
        <f>IF(OR(G40="",G39=""),"",STDEV(G39:G40)/AVERAGE(G39:G40))</f>
        <v>3.0562572074860628E-2</v>
      </c>
      <c r="J39" s="21">
        <f>IF(OR(G39="",H39=""),"",IF($G$21/G39&lt;1,"менее 2,0",IF(10^((H39-INTERCEPT($I$11:$I$14,$H$11:$H$14))/SLOPE($I$11:$I$14,$H$11:$H$14))&gt;$B$14,"более "&amp;$B$14&amp;",0",IF(10^((H39-INTERCEPT($I$11:$I$14,$H$11:$H$14))/SLOPE($I$11:$I$14,$H$11:$H$14))&lt;2,"менее 2,0",ROUND(10^((H39-INTERCEPT($I$11:$I$14,$H$11:$H$14))/SLOPE($I$11:$I$14,$H$11:$H$14))*F39,2)))))</f>
        <v>9.42</v>
      </c>
      <c r="K39" s="57">
        <f>ABS(J39-J40)</f>
        <v>0.51999999999999957</v>
      </c>
      <c r="L39" s="79" t="str">
        <f t="shared" ref="L39" si="20">IF(M39="","",IF(M39="более "&amp;$B$14&amp;",0","",IF(M39="менее 2,0","",IF((200*K39)/(J39+J40)&lt;=K40,"приемлемо","неприемлемо"))))</f>
        <v>приемлемо</v>
      </c>
      <c r="M39" s="81">
        <f t="shared" ref="M39" si="21">IF(OR(J39="",J40=""),"",IF(OR(J39="менее 2,0",J40="менее 2,0"),"менее 2,0",IF(OR(J39="более "&amp;$B$14&amp;",0",J40="более "&amp;$B$14&amp;",0"),"более "&amp;$B$14&amp;",0",ROUND(AVERAGE(J39:J40),1))))</f>
        <v>9.1999999999999993</v>
      </c>
      <c r="N39" s="83">
        <f>IF(M39="","",IF(M39="более "&amp;$B$14&amp;",0","",IF(M39="менее 2,0","",0.01*M39*VLOOKUP(D39,$R$4:$U$16,4,FALSE))))</f>
        <v>2.3919999999999999</v>
      </c>
      <c r="O39" s="85"/>
    </row>
    <row r="40" spans="1:15" x14ac:dyDescent="0.25">
      <c r="A40" s="68"/>
      <c r="B40" s="71"/>
      <c r="C40" s="72"/>
      <c r="D40" s="73">
        <v>24</v>
      </c>
      <c r="E40" s="74"/>
      <c r="F40" s="76"/>
      <c r="G40" s="56">
        <v>0.52</v>
      </c>
      <c r="H40" s="43">
        <f t="shared" si="4"/>
        <v>-0.44311247819296995</v>
      </c>
      <c r="I40" s="78">
        <f t="shared" si="2"/>
        <v>17.71479554471378</v>
      </c>
      <c r="J40" s="21">
        <f>IF(OR(G40="",H40=""),"",IF($G$21/G40&lt;1,"менее 2,0",IF(10^((H40-INTERCEPT($I$11:$I$14,$H$11:$H$14))/SLOPE($I$11:$I$14,$H$11:$H$14))&gt;$B$14,"более "&amp;$B$14&amp;",0",IF(10^((H40-INTERCEPT($I$11:$I$14,$H$11:$H$14))/SLOPE($I$11:$I$14,$H$11:$H$14))&lt;2,"менее 2,0",ROUND(10^((H40-INTERCEPT($I$11:$I$14,$H$11:$H$14))/SLOPE($I$11:$I$14,$H$11:$H$14))*F39,2)))))</f>
        <v>8.9</v>
      </c>
      <c r="K40" s="58">
        <f>IF(OR(J39="",J40=""),"",VLOOKUP(D39,$R$4:$V$16,3,FALSE))</f>
        <v>25</v>
      </c>
      <c r="L40" s="80"/>
      <c r="M40" s="82"/>
      <c r="N40" s="84"/>
      <c r="O40" s="86"/>
    </row>
    <row r="41" spans="1:15" x14ac:dyDescent="0.25">
      <c r="A41" s="67">
        <v>8</v>
      </c>
      <c r="B41" s="69"/>
      <c r="C41" s="70"/>
      <c r="D41" s="73">
        <v>11</v>
      </c>
      <c r="E41" s="74"/>
      <c r="F41" s="75">
        <f t="shared" ref="F41" si="22">VLOOKUP(D41,$R$4:$V$16,5,FALSE)</f>
        <v>1</v>
      </c>
      <c r="G41" s="56">
        <v>0.498</v>
      </c>
      <c r="H41" s="43">
        <f t="shared" si="4"/>
        <v>-0.46846003325789987</v>
      </c>
      <c r="I41" s="77">
        <f>IF(OR(G42="",G41=""),"",STDEV(G41:G42)/AVERAGE(G41:G42))</f>
        <v>3.0562572074860628E-2</v>
      </c>
      <c r="J41" s="21">
        <f>IF(OR(G41="",H41=""),"",IF($G$21/G41&lt;1,"менее 2,0",IF(10^((H41-INTERCEPT($I$11:$I$14,$H$11:$H$14))/SLOPE($I$11:$I$14,$H$11:$H$14))&gt;$B$14,"более "&amp;$B$14&amp;",0",IF(10^((H41-INTERCEPT($I$11:$I$14,$H$11:$H$14))/SLOPE($I$11:$I$14,$H$11:$H$14))&lt;2,"менее 2,0",ROUND(10^((H41-INTERCEPT($I$11:$I$14,$H$11:$H$14))/SLOPE($I$11:$I$14,$H$11:$H$14))*F41,2)))))</f>
        <v>9.42</v>
      </c>
      <c r="K41" s="57">
        <f>ABS(J41-J42)</f>
        <v>0.51999999999999957</v>
      </c>
      <c r="L41" s="79" t="str">
        <f t="shared" ref="L41" si="23">IF(M41="","",IF(M41="более "&amp;$B$14&amp;",0","",IF(M41="менее 2,0","",IF((200*K41)/(J41+J42)&lt;=K42,"приемлемо","неприемлемо"))))</f>
        <v>приемлемо</v>
      </c>
      <c r="M41" s="81">
        <f t="shared" ref="M41" si="24">IF(OR(J41="",J42=""),"",IF(OR(J41="менее 2,0",J42="менее 2,0"),"менее 2,0",IF(OR(J41="более "&amp;$B$14&amp;",0",J42="более "&amp;$B$14&amp;",0"),"более "&amp;$B$14&amp;",0",ROUND(AVERAGE(J41:J42),1))))</f>
        <v>9.1999999999999993</v>
      </c>
      <c r="N41" s="83">
        <f>IF(M41="","",IF(M41="более "&amp;$B$14&amp;",0","",IF(M41="менее 2,0","",0.01*M41*VLOOKUP(D41,$R$4:$U$16,4,FALSE))))</f>
        <v>2.3919999999999999</v>
      </c>
      <c r="O41" s="85"/>
    </row>
    <row r="42" spans="1:15" x14ac:dyDescent="0.25">
      <c r="A42" s="68"/>
      <c r="B42" s="71"/>
      <c r="C42" s="72"/>
      <c r="D42" s="73">
        <v>26</v>
      </c>
      <c r="E42" s="74"/>
      <c r="F42" s="76"/>
      <c r="G42" s="56">
        <v>0.52</v>
      </c>
      <c r="H42" s="43">
        <f t="shared" si="4"/>
        <v>-0.44311247819296995</v>
      </c>
      <c r="I42" s="78">
        <f t="shared" si="2"/>
        <v>17.71479554471378</v>
      </c>
      <c r="J42" s="21">
        <f>IF(OR(G42="",H42=""),"",IF($G$21/G42&lt;1,"менее 2,0",IF(10^((H42-INTERCEPT($I$11:$I$14,$H$11:$H$14))/SLOPE($I$11:$I$14,$H$11:$H$14))&gt;$B$14,"более "&amp;$B$14&amp;",0",IF(10^((H42-INTERCEPT($I$11:$I$14,$H$11:$H$14))/SLOPE($I$11:$I$14,$H$11:$H$14))&lt;2,"менее 2,0",ROUND(10^((H42-INTERCEPT($I$11:$I$14,$H$11:$H$14))/SLOPE($I$11:$I$14,$H$11:$H$14))*F41,2)))))</f>
        <v>8.9</v>
      </c>
      <c r="K42" s="58">
        <f>IF(OR(J41="",J42=""),"",VLOOKUP(D41,$R$4:$V$16,3,FALSE))</f>
        <v>25</v>
      </c>
      <c r="L42" s="80"/>
      <c r="M42" s="82"/>
      <c r="N42" s="84"/>
      <c r="O42" s="86"/>
    </row>
    <row r="43" spans="1:15" x14ac:dyDescent="0.25">
      <c r="A43" s="67">
        <v>9</v>
      </c>
      <c r="B43" s="69"/>
      <c r="C43" s="70"/>
      <c r="D43" s="73">
        <v>11</v>
      </c>
      <c r="E43" s="74"/>
      <c r="F43" s="75">
        <f t="shared" ref="F43" si="25">VLOOKUP(D43,$R$4:$V$16,5,FALSE)</f>
        <v>1</v>
      </c>
      <c r="G43" s="56">
        <v>0.498</v>
      </c>
      <c r="H43" s="43">
        <f t="shared" si="4"/>
        <v>-0.46846003325789987</v>
      </c>
      <c r="I43" s="77">
        <f>IF(OR(G44="",G43=""),"",STDEV(G43:G44)/AVERAGE(G43:G44))</f>
        <v>3.0562572074860628E-2</v>
      </c>
      <c r="J43" s="21">
        <f>IF(OR(G43="",H43=""),"",IF($G$21/G43&lt;1,"менее 2,0",IF(10^((H43-INTERCEPT($I$11:$I$14,$H$11:$H$14))/SLOPE($I$11:$I$14,$H$11:$H$14))&gt;$B$14,"более "&amp;$B$14&amp;",0",IF(10^((H43-INTERCEPT($I$11:$I$14,$H$11:$H$14))/SLOPE($I$11:$I$14,$H$11:$H$14))&lt;2,"менее 2,0",ROUND(10^((H43-INTERCEPT($I$11:$I$14,$H$11:$H$14))/SLOPE($I$11:$I$14,$H$11:$H$14))*F43,2)))))</f>
        <v>9.42</v>
      </c>
      <c r="K43" s="57">
        <f>ABS(J43-J44)</f>
        <v>0.51999999999999957</v>
      </c>
      <c r="L43" s="79" t="str">
        <f t="shared" ref="L43" si="26">IF(M43="","",IF(M43="более "&amp;$B$14&amp;",0","",IF(M43="менее 2,0","",IF((200*K43)/(J43+J44)&lt;=K44,"приемлемо","неприемлемо"))))</f>
        <v>приемлемо</v>
      </c>
      <c r="M43" s="81">
        <f t="shared" ref="M43" si="27">IF(OR(J43="",J44=""),"",IF(OR(J43="менее 2,0",J44="менее 2,0"),"менее 2,0",IF(OR(J43="более "&amp;$B$14&amp;",0",J44="более "&amp;$B$14&amp;",0"),"более "&amp;$B$14&amp;",0",ROUND(AVERAGE(J43:J44),1))))</f>
        <v>9.1999999999999993</v>
      </c>
      <c r="N43" s="83">
        <f>IF(M43="","",IF(M43="более "&amp;$B$14&amp;",0","",IF(M43="менее 2,0","",0.01*M43*VLOOKUP(D43,$R$4:$U$16,4,FALSE))))</f>
        <v>2.3919999999999999</v>
      </c>
      <c r="O43" s="85"/>
    </row>
    <row r="44" spans="1:15" x14ac:dyDescent="0.25">
      <c r="A44" s="68"/>
      <c r="B44" s="71"/>
      <c r="C44" s="72"/>
      <c r="D44" s="73">
        <v>28</v>
      </c>
      <c r="E44" s="74"/>
      <c r="F44" s="76"/>
      <c r="G44" s="56">
        <v>0.52</v>
      </c>
      <c r="H44" s="43">
        <f t="shared" si="4"/>
        <v>-0.44311247819296995</v>
      </c>
      <c r="I44" s="78">
        <f t="shared" si="2"/>
        <v>17.71479554471378</v>
      </c>
      <c r="J44" s="21">
        <f>IF(OR(G44="",H44=""),"",IF($G$21/G44&lt;1,"менее 2,0",IF(10^((H44-INTERCEPT($I$11:$I$14,$H$11:$H$14))/SLOPE($I$11:$I$14,$H$11:$H$14))&gt;$B$14,"более "&amp;$B$14&amp;",0",IF(10^((H44-INTERCEPT($I$11:$I$14,$H$11:$H$14))/SLOPE($I$11:$I$14,$H$11:$H$14))&lt;2,"менее 2,0",ROUND(10^((H44-INTERCEPT($I$11:$I$14,$H$11:$H$14))/SLOPE($I$11:$I$14,$H$11:$H$14))*F43,2)))))</f>
        <v>8.9</v>
      </c>
      <c r="K44" s="58">
        <f>IF(OR(J43="",J44=""),"",VLOOKUP(D43,$R$4:$V$16,3,FALSE))</f>
        <v>25</v>
      </c>
      <c r="L44" s="80"/>
      <c r="M44" s="82"/>
      <c r="N44" s="84"/>
      <c r="O44" s="86"/>
    </row>
    <row r="45" spans="1:15" x14ac:dyDescent="0.25">
      <c r="A45" s="67">
        <v>10</v>
      </c>
      <c r="B45" s="69"/>
      <c r="C45" s="70"/>
      <c r="D45" s="73">
        <v>11</v>
      </c>
      <c r="E45" s="74"/>
      <c r="F45" s="75">
        <f t="shared" ref="F45" si="28">VLOOKUP(D45,$R$4:$V$16,5,FALSE)</f>
        <v>1</v>
      </c>
      <c r="G45" s="56">
        <v>0.498</v>
      </c>
      <c r="H45" s="43">
        <f t="shared" si="4"/>
        <v>-0.46846003325789987</v>
      </c>
      <c r="I45" s="77">
        <f>IF(OR(G46="",G45=""),"",STDEV(G45:G46)/AVERAGE(G45:G46))</f>
        <v>3.0562572074860628E-2</v>
      </c>
      <c r="J45" s="21">
        <f>IF(OR(G45="",H45=""),"",IF($G$21/G45&lt;1,"менее 2,0",IF(10^((H45-INTERCEPT($I$11:$I$14,$H$11:$H$14))/SLOPE($I$11:$I$14,$H$11:$H$14))&gt;$B$14,"более "&amp;$B$14&amp;",0",IF(10^((H45-INTERCEPT($I$11:$I$14,$H$11:$H$14))/SLOPE($I$11:$I$14,$H$11:$H$14))&lt;2,"менее 2,0",ROUND(10^((H45-INTERCEPT($I$11:$I$14,$H$11:$H$14))/SLOPE($I$11:$I$14,$H$11:$H$14))*F45,2)))))</f>
        <v>9.42</v>
      </c>
      <c r="K45" s="57">
        <f>ABS(J45-J46)</f>
        <v>0.51999999999999957</v>
      </c>
      <c r="L45" s="79" t="str">
        <f t="shared" ref="L45" si="29">IF(M45="","",IF(M45="более "&amp;$B$14&amp;",0","",IF(M45="менее 2,0","",IF((200*K45)/(J45+J46)&lt;=K46,"приемлемо","неприемлемо"))))</f>
        <v>приемлемо</v>
      </c>
      <c r="M45" s="81">
        <f t="shared" ref="M45" si="30">IF(OR(J45="",J46=""),"",IF(OR(J45="менее 2,0",J46="менее 2,0"),"менее 2,0",IF(OR(J45="более "&amp;$B$14&amp;",0",J46="более "&amp;$B$14&amp;",0"),"более "&amp;$B$14&amp;",0",ROUND(AVERAGE(J45:J46),1))))</f>
        <v>9.1999999999999993</v>
      </c>
      <c r="N45" s="83">
        <f>IF(M45="","",IF(M45="более "&amp;$B$14&amp;",0","",IF(M45="менее 2,0","",0.01*M45*VLOOKUP(D45,$R$4:$U$16,4,FALSE))))</f>
        <v>2.3919999999999999</v>
      </c>
      <c r="O45" s="85"/>
    </row>
    <row r="46" spans="1:15" x14ac:dyDescent="0.25">
      <c r="A46" s="68"/>
      <c r="B46" s="71"/>
      <c r="C46" s="72"/>
      <c r="D46" s="73">
        <v>30</v>
      </c>
      <c r="E46" s="74"/>
      <c r="F46" s="76"/>
      <c r="G46" s="56">
        <v>0.52</v>
      </c>
      <c r="H46" s="43">
        <f t="shared" si="4"/>
        <v>-0.44311247819296995</v>
      </c>
      <c r="I46" s="78">
        <f t="shared" si="2"/>
        <v>17.71479554471378</v>
      </c>
      <c r="J46" s="21">
        <f>IF(OR(G46="",H46=""),"",IF($G$21/G46&lt;1,"менее 2,0",IF(10^((H46-INTERCEPT($I$11:$I$14,$H$11:$H$14))/SLOPE($I$11:$I$14,$H$11:$H$14))&gt;$B$14,"более "&amp;$B$14&amp;",0",IF(10^((H46-INTERCEPT($I$11:$I$14,$H$11:$H$14))/SLOPE($I$11:$I$14,$H$11:$H$14))&lt;2,"менее 2,0",ROUND(10^((H46-INTERCEPT($I$11:$I$14,$H$11:$H$14))/SLOPE($I$11:$I$14,$H$11:$H$14))*F45,2)))))</f>
        <v>8.9</v>
      </c>
      <c r="K46" s="58">
        <f>IF(OR(J45="",J46=""),"",VLOOKUP(D45,$R$4:$V$16,3,FALSE))</f>
        <v>25</v>
      </c>
      <c r="L46" s="80"/>
      <c r="M46" s="82"/>
      <c r="N46" s="84"/>
      <c r="O46" s="86"/>
    </row>
    <row r="47" spans="1:15" x14ac:dyDescent="0.25">
      <c r="A47" s="67">
        <v>11</v>
      </c>
      <c r="B47" s="69"/>
      <c r="C47" s="70"/>
      <c r="D47" s="73">
        <v>11</v>
      </c>
      <c r="E47" s="74"/>
      <c r="F47" s="75">
        <f t="shared" ref="F47" si="31">VLOOKUP(D47,$R$4:$V$16,5,FALSE)</f>
        <v>1</v>
      </c>
      <c r="G47" s="56">
        <v>0.498</v>
      </c>
      <c r="H47" s="43">
        <f t="shared" si="4"/>
        <v>-0.46846003325789987</v>
      </c>
      <c r="I47" s="77">
        <f>IF(OR(G48="",G47=""),"",STDEV(G47:G48)/AVERAGE(G47:G48))</f>
        <v>3.0562572074860628E-2</v>
      </c>
      <c r="J47" s="21">
        <f>IF(OR(G47="",H47=""),"",IF($G$21/G47&lt;1,"менее 2,0",IF(10^((H47-INTERCEPT($I$11:$I$14,$H$11:$H$14))/SLOPE($I$11:$I$14,$H$11:$H$14))&gt;$B$14,"более "&amp;$B$14&amp;",0",IF(10^((H47-INTERCEPT($I$11:$I$14,$H$11:$H$14))/SLOPE($I$11:$I$14,$H$11:$H$14))&lt;2,"менее 2,0",ROUND(10^((H47-INTERCEPT($I$11:$I$14,$H$11:$H$14))/SLOPE($I$11:$I$14,$H$11:$H$14))*F47,2)))))</f>
        <v>9.42</v>
      </c>
      <c r="K47" s="57">
        <f>ABS(J47-J48)</f>
        <v>0.51999999999999957</v>
      </c>
      <c r="L47" s="79" t="str">
        <f t="shared" ref="L47" si="32">IF(M47="","",IF(M47="более "&amp;$B$14&amp;",0","",IF(M47="менее 2,0","",IF((200*K47)/(J47+J48)&lt;=K48,"приемлемо","неприемлемо"))))</f>
        <v>приемлемо</v>
      </c>
      <c r="M47" s="81">
        <f t="shared" ref="M47" si="33">IF(OR(J47="",J48=""),"",IF(OR(J47="менее 2,0",J48="менее 2,0"),"менее 2,0",IF(OR(J47="более "&amp;$B$14&amp;",0",J48="более "&amp;$B$14&amp;",0"),"более "&amp;$B$14&amp;",0",ROUND(AVERAGE(J47:J48),1))))</f>
        <v>9.1999999999999993</v>
      </c>
      <c r="N47" s="83">
        <f>IF(M47="","",IF(M47="более "&amp;$B$14&amp;",0","",IF(M47="менее 2,0","",0.01*M47*VLOOKUP(D47,$R$4:$U$16,4,FALSE))))</f>
        <v>2.3919999999999999</v>
      </c>
      <c r="O47" s="85"/>
    </row>
    <row r="48" spans="1:15" x14ac:dyDescent="0.25">
      <c r="A48" s="68"/>
      <c r="B48" s="71"/>
      <c r="C48" s="72"/>
      <c r="D48" s="73">
        <v>32</v>
      </c>
      <c r="E48" s="74"/>
      <c r="F48" s="76"/>
      <c r="G48" s="56">
        <v>0.52</v>
      </c>
      <c r="H48" s="43">
        <f t="shared" si="4"/>
        <v>-0.44311247819296995</v>
      </c>
      <c r="I48" s="78">
        <f t="shared" si="2"/>
        <v>17.71479554471378</v>
      </c>
      <c r="J48" s="21">
        <f>IF(OR(G48="",H48=""),"",IF($G$21/G48&lt;1,"менее 2,0",IF(10^((H48-INTERCEPT($I$11:$I$14,$H$11:$H$14))/SLOPE($I$11:$I$14,$H$11:$H$14))&gt;$B$14,"более "&amp;$B$14&amp;",0",IF(10^((H48-INTERCEPT($I$11:$I$14,$H$11:$H$14))/SLOPE($I$11:$I$14,$H$11:$H$14))&lt;2,"менее 2,0",ROUND(10^((H48-INTERCEPT($I$11:$I$14,$H$11:$H$14))/SLOPE($I$11:$I$14,$H$11:$H$14))*F47,2)))))</f>
        <v>8.9</v>
      </c>
      <c r="K48" s="58">
        <f>IF(OR(J47="",J48=""),"",VLOOKUP(D47,$R$4:$V$16,3,FALSE))</f>
        <v>25</v>
      </c>
      <c r="L48" s="80"/>
      <c r="M48" s="82"/>
      <c r="N48" s="84"/>
      <c r="O48" s="86"/>
    </row>
    <row r="49" spans="1:15" x14ac:dyDescent="0.25">
      <c r="A49" s="67">
        <v>12</v>
      </c>
      <c r="B49" s="69"/>
      <c r="C49" s="70"/>
      <c r="D49" s="73">
        <v>11</v>
      </c>
      <c r="E49" s="74"/>
      <c r="F49" s="75">
        <f t="shared" ref="F49" si="34">VLOOKUP(D49,$R$4:$V$16,5,FALSE)</f>
        <v>1</v>
      </c>
      <c r="G49" s="56">
        <v>0.498</v>
      </c>
      <c r="H49" s="43">
        <f t="shared" si="4"/>
        <v>-0.46846003325789987</v>
      </c>
      <c r="I49" s="77">
        <f>IF(OR(G50="",G49=""),"",STDEV(G49:G50)/AVERAGE(G49:G50))</f>
        <v>3.0562572074860628E-2</v>
      </c>
      <c r="J49" s="21">
        <f>IF(OR(G49="",H49=""),"",IF($G$21/G49&lt;1,"менее 2,0",IF(10^((H49-INTERCEPT($I$11:$I$14,$H$11:$H$14))/SLOPE($I$11:$I$14,$H$11:$H$14))&gt;$B$14,"более "&amp;$B$14&amp;",0",IF(10^((H49-INTERCEPT($I$11:$I$14,$H$11:$H$14))/SLOPE($I$11:$I$14,$H$11:$H$14))&lt;2,"менее 2,0",ROUND(10^((H49-INTERCEPT($I$11:$I$14,$H$11:$H$14))/SLOPE($I$11:$I$14,$H$11:$H$14))*F49,2)))))</f>
        <v>9.42</v>
      </c>
      <c r="K49" s="57">
        <f>ABS(J49-J50)</f>
        <v>0.51999999999999957</v>
      </c>
      <c r="L49" s="79" t="str">
        <f t="shared" ref="L49" si="35">IF(M49="","",IF(M49="более "&amp;$B$14&amp;",0","",IF(M49="менее 2,0","",IF((200*K49)/(J49+J50)&lt;=K50,"приемлемо","неприемлемо"))))</f>
        <v>приемлемо</v>
      </c>
      <c r="M49" s="81">
        <f t="shared" ref="M49" si="36">IF(OR(J49="",J50=""),"",IF(OR(J49="менее 2,0",J50="менее 2,0"),"менее 2,0",IF(OR(J49="более "&amp;$B$14&amp;",0",J50="более "&amp;$B$14&amp;",0"),"более "&amp;$B$14&amp;",0",ROUND(AVERAGE(J49:J50),1))))</f>
        <v>9.1999999999999993</v>
      </c>
      <c r="N49" s="83">
        <f>IF(M49="","",IF(M49="более "&amp;$B$14&amp;",0","",IF(M49="менее 2,0","",0.01*M49*VLOOKUP(D49,$R$4:$U$16,4,FALSE))))</f>
        <v>2.3919999999999999</v>
      </c>
      <c r="O49" s="85"/>
    </row>
    <row r="50" spans="1:15" x14ac:dyDescent="0.25">
      <c r="A50" s="68"/>
      <c r="B50" s="71"/>
      <c r="C50" s="72"/>
      <c r="D50" s="73">
        <v>34</v>
      </c>
      <c r="E50" s="74"/>
      <c r="F50" s="76"/>
      <c r="G50" s="56">
        <v>0.52</v>
      </c>
      <c r="H50" s="43">
        <f t="shared" si="4"/>
        <v>-0.44311247819296995</v>
      </c>
      <c r="I50" s="78">
        <f t="shared" si="2"/>
        <v>17.71479554471378</v>
      </c>
      <c r="J50" s="21">
        <f>IF(OR(G50="",H50=""),"",IF($G$21/G50&lt;1,"менее 2,0",IF(10^((H50-INTERCEPT($I$11:$I$14,$H$11:$H$14))/SLOPE($I$11:$I$14,$H$11:$H$14))&gt;$B$14,"более "&amp;$B$14&amp;",0",IF(10^((H50-INTERCEPT($I$11:$I$14,$H$11:$H$14))/SLOPE($I$11:$I$14,$H$11:$H$14))&lt;2,"менее 2,0",ROUND(10^((H50-INTERCEPT($I$11:$I$14,$H$11:$H$14))/SLOPE($I$11:$I$14,$H$11:$H$14))*F49,2)))))</f>
        <v>8.9</v>
      </c>
      <c r="K50" s="58">
        <f>IF(OR(J49="",J50=""),"",VLOOKUP(D49,$R$4:$V$16,3,FALSE))</f>
        <v>25</v>
      </c>
      <c r="L50" s="80"/>
      <c r="M50" s="82"/>
      <c r="N50" s="84"/>
      <c r="O50" s="86"/>
    </row>
    <row r="51" spans="1:15" x14ac:dyDescent="0.25">
      <c r="A51" s="67">
        <v>13</v>
      </c>
      <c r="B51" s="69"/>
      <c r="C51" s="70"/>
      <c r="D51" s="73">
        <v>11</v>
      </c>
      <c r="E51" s="74"/>
      <c r="F51" s="75">
        <f t="shared" ref="F51" si="37">VLOOKUP(D51,$R$4:$V$16,5,FALSE)</f>
        <v>1</v>
      </c>
      <c r="G51" s="56">
        <v>0.498</v>
      </c>
      <c r="H51" s="43">
        <f t="shared" si="4"/>
        <v>-0.46846003325789987</v>
      </c>
      <c r="I51" s="77">
        <f>IF(OR(G52="",G51=""),"",STDEV(G51:G52)/AVERAGE(G51:G52))</f>
        <v>3.0562572074860628E-2</v>
      </c>
      <c r="J51" s="21">
        <f>IF(OR(G51="",H51=""),"",IF($G$21/G51&lt;1,"менее 2,0",IF(10^((H51-INTERCEPT($I$11:$I$14,$H$11:$H$14))/SLOPE($I$11:$I$14,$H$11:$H$14))&gt;$B$14,"более "&amp;$B$14&amp;",0",IF(10^((H51-INTERCEPT($I$11:$I$14,$H$11:$H$14))/SLOPE($I$11:$I$14,$H$11:$H$14))&lt;2,"менее 2,0",ROUND(10^((H51-INTERCEPT($I$11:$I$14,$H$11:$H$14))/SLOPE($I$11:$I$14,$H$11:$H$14))*F51,2)))))</f>
        <v>9.42</v>
      </c>
      <c r="K51" s="57">
        <f>ABS(J51-J52)</f>
        <v>0.51999999999999957</v>
      </c>
      <c r="L51" s="79" t="str">
        <f t="shared" ref="L51" si="38">IF(M51="","",IF(M51="более "&amp;$B$14&amp;",0","",IF(M51="менее 2,0","",IF((200*K51)/(J51+J52)&lt;=K52,"приемлемо","неприемлемо"))))</f>
        <v>приемлемо</v>
      </c>
      <c r="M51" s="81">
        <f t="shared" ref="M51" si="39">IF(OR(J51="",J52=""),"",IF(OR(J51="менее 2,0",J52="менее 2,0"),"менее 2,0",IF(OR(J51="более "&amp;$B$14&amp;",0",J52="более "&amp;$B$14&amp;",0"),"более "&amp;$B$14&amp;",0",ROUND(AVERAGE(J51:J52),1))))</f>
        <v>9.1999999999999993</v>
      </c>
      <c r="N51" s="83">
        <f>IF(M51="","",IF(M51="более "&amp;$B$14&amp;",0","",IF(M51="менее 2,0","",0.01*M51*VLOOKUP(D51,$R$4:$U$16,4,FALSE))))</f>
        <v>2.3919999999999999</v>
      </c>
      <c r="O51" s="85"/>
    </row>
    <row r="52" spans="1:15" x14ac:dyDescent="0.25">
      <c r="A52" s="68"/>
      <c r="B52" s="71"/>
      <c r="C52" s="72"/>
      <c r="D52" s="73">
        <v>36</v>
      </c>
      <c r="E52" s="74"/>
      <c r="F52" s="76"/>
      <c r="G52" s="56">
        <v>0.52</v>
      </c>
      <c r="H52" s="43">
        <f t="shared" si="4"/>
        <v>-0.44311247819296995</v>
      </c>
      <c r="I52" s="78">
        <f t="shared" si="2"/>
        <v>17.71479554471378</v>
      </c>
      <c r="J52" s="21">
        <f>IF(OR(G52="",H52=""),"",IF($G$21/G52&lt;1,"менее 2,0",IF(10^((H52-INTERCEPT($I$11:$I$14,$H$11:$H$14))/SLOPE($I$11:$I$14,$H$11:$H$14))&gt;$B$14,"более "&amp;$B$14&amp;",0",IF(10^((H52-INTERCEPT($I$11:$I$14,$H$11:$H$14))/SLOPE($I$11:$I$14,$H$11:$H$14))&lt;2,"менее 2,0",ROUND(10^((H52-INTERCEPT($I$11:$I$14,$H$11:$H$14))/SLOPE($I$11:$I$14,$H$11:$H$14))*F51,2)))))</f>
        <v>8.9</v>
      </c>
      <c r="K52" s="58">
        <f>IF(OR(J51="",J52=""),"",VLOOKUP(D51,$R$4:$V$16,3,FALSE))</f>
        <v>25</v>
      </c>
      <c r="L52" s="80"/>
      <c r="M52" s="82"/>
      <c r="N52" s="84"/>
      <c r="O52" s="86"/>
    </row>
    <row r="53" spans="1:15" x14ac:dyDescent="0.25">
      <c r="A53" s="67">
        <v>14</v>
      </c>
      <c r="B53" s="69"/>
      <c r="C53" s="70"/>
      <c r="D53" s="73">
        <v>11</v>
      </c>
      <c r="E53" s="74"/>
      <c r="F53" s="75">
        <f t="shared" ref="F53" si="40">VLOOKUP(D53,$R$4:$V$16,5,FALSE)</f>
        <v>1</v>
      </c>
      <c r="G53" s="56">
        <v>0.498</v>
      </c>
      <c r="H53" s="43">
        <f t="shared" si="4"/>
        <v>-0.46846003325789987</v>
      </c>
      <c r="I53" s="77">
        <f>IF(OR(G54="",G53=""),"",STDEV(G53:G54)/AVERAGE(G53:G54))</f>
        <v>3.0562572074860628E-2</v>
      </c>
      <c r="J53" s="21">
        <f>IF(OR(G53="",H53=""),"",IF($G$21/G53&lt;1,"менее 2,0",IF(10^((H53-INTERCEPT($I$11:$I$14,$H$11:$H$14))/SLOPE($I$11:$I$14,$H$11:$H$14))&gt;$B$14,"более "&amp;$B$14&amp;",0",IF(10^((H53-INTERCEPT($I$11:$I$14,$H$11:$H$14))/SLOPE($I$11:$I$14,$H$11:$H$14))&lt;2,"менее 2,0",ROUND(10^((H53-INTERCEPT($I$11:$I$14,$H$11:$H$14))/SLOPE($I$11:$I$14,$H$11:$H$14))*F53,2)))))</f>
        <v>9.42</v>
      </c>
      <c r="K53" s="57">
        <f>ABS(J53-J54)</f>
        <v>0.51999999999999957</v>
      </c>
      <c r="L53" s="79" t="str">
        <f t="shared" ref="L53" si="41">IF(M53="","",IF(M53="более "&amp;$B$14&amp;",0","",IF(M53="менее 2,0","",IF((200*K53)/(J53+J54)&lt;=K54,"приемлемо","неприемлемо"))))</f>
        <v>приемлемо</v>
      </c>
      <c r="M53" s="81">
        <f t="shared" ref="M53" si="42">IF(OR(J53="",J54=""),"",IF(OR(J53="менее 2,0",J54="менее 2,0"),"менее 2,0",IF(OR(J53="более "&amp;$B$14&amp;",0",J54="более "&amp;$B$14&amp;",0"),"более "&amp;$B$14&amp;",0",ROUND(AVERAGE(J53:J54),1))))</f>
        <v>9.1999999999999993</v>
      </c>
      <c r="N53" s="83">
        <f>IF(M53="","",IF(M53="более "&amp;$B$14&amp;",0","",IF(M53="менее 2,0","",0.01*M53*VLOOKUP(D53,$R$4:$U$16,4,FALSE))))</f>
        <v>2.3919999999999999</v>
      </c>
      <c r="O53" s="85"/>
    </row>
    <row r="54" spans="1:15" x14ac:dyDescent="0.25">
      <c r="A54" s="68"/>
      <c r="B54" s="71"/>
      <c r="C54" s="72"/>
      <c r="D54" s="73">
        <v>38</v>
      </c>
      <c r="E54" s="74"/>
      <c r="F54" s="76"/>
      <c r="G54" s="56">
        <v>0.52</v>
      </c>
      <c r="H54" s="43">
        <f t="shared" si="4"/>
        <v>-0.44311247819296995</v>
      </c>
      <c r="I54" s="78">
        <f t="shared" si="2"/>
        <v>17.71479554471378</v>
      </c>
      <c r="J54" s="21">
        <f>IF(OR(G54="",H54=""),"",IF($G$21/G54&lt;1,"менее 2,0",IF(10^((H54-INTERCEPT($I$11:$I$14,$H$11:$H$14))/SLOPE($I$11:$I$14,$H$11:$H$14))&gt;$B$14,"более "&amp;$B$14&amp;",0",IF(10^((H54-INTERCEPT($I$11:$I$14,$H$11:$H$14))/SLOPE($I$11:$I$14,$H$11:$H$14))&lt;2,"менее 2,0",ROUND(10^((H54-INTERCEPT($I$11:$I$14,$H$11:$H$14))/SLOPE($I$11:$I$14,$H$11:$H$14))*F53,2)))))</f>
        <v>8.9</v>
      </c>
      <c r="K54" s="58">
        <f>IF(OR(J53="",J54=""),"",VLOOKUP(D53,$R$4:$V$16,3,FALSE))</f>
        <v>25</v>
      </c>
      <c r="L54" s="80"/>
      <c r="M54" s="82"/>
      <c r="N54" s="84"/>
      <c r="O54" s="86"/>
    </row>
    <row r="55" spans="1:15" x14ac:dyDescent="0.25">
      <c r="A55" s="67">
        <v>15</v>
      </c>
      <c r="B55" s="69"/>
      <c r="C55" s="70"/>
      <c r="D55" s="73">
        <v>11</v>
      </c>
      <c r="E55" s="74"/>
      <c r="F55" s="75">
        <f t="shared" ref="F55" si="43">VLOOKUP(D55,$R$4:$V$16,5,FALSE)</f>
        <v>1</v>
      </c>
      <c r="G55" s="56">
        <v>0.498</v>
      </c>
      <c r="H55" s="43">
        <f t="shared" si="4"/>
        <v>-0.46846003325789987</v>
      </c>
      <c r="I55" s="77">
        <f>IF(OR(G56="",G55=""),"",STDEV(G55:G56)/AVERAGE(G55:G56))</f>
        <v>3.0562572074860628E-2</v>
      </c>
      <c r="J55" s="21">
        <f>IF(OR(G55="",H55=""),"",IF($G$21/G55&lt;1,"менее 2,0",IF(10^((H55-INTERCEPT($I$11:$I$14,$H$11:$H$14))/SLOPE($I$11:$I$14,$H$11:$H$14))&gt;$B$14,"более "&amp;$B$14&amp;",0",IF(10^((H55-INTERCEPT($I$11:$I$14,$H$11:$H$14))/SLOPE($I$11:$I$14,$H$11:$H$14))&lt;2,"менее 2,0",ROUND(10^((H55-INTERCEPT($I$11:$I$14,$H$11:$H$14))/SLOPE($I$11:$I$14,$H$11:$H$14))*F55,2)))))</f>
        <v>9.42</v>
      </c>
      <c r="K55" s="57">
        <f>ABS(J55-J56)</f>
        <v>0.51999999999999957</v>
      </c>
      <c r="L55" s="79" t="str">
        <f t="shared" ref="L55" si="44">IF(M55="","",IF(M55="более "&amp;$B$14&amp;",0","",IF(M55="менее 2,0","",IF((200*K55)/(J55+J56)&lt;=K56,"приемлемо","неприемлемо"))))</f>
        <v>приемлемо</v>
      </c>
      <c r="M55" s="81">
        <f t="shared" ref="M55" si="45">IF(OR(J55="",J56=""),"",IF(OR(J55="менее 2,0",J56="менее 2,0"),"менее 2,0",IF(OR(J55="более "&amp;$B$14&amp;",0",J56="более "&amp;$B$14&amp;",0"),"более "&amp;$B$14&amp;",0",ROUND(AVERAGE(J55:J56),1))))</f>
        <v>9.1999999999999993</v>
      </c>
      <c r="N55" s="83">
        <f>IF(M55="","",IF(M55="более "&amp;$B$14&amp;",0","",IF(M55="менее 2,0","",0.01*M55*VLOOKUP(D55,$R$4:$U$16,4,FALSE))))</f>
        <v>2.3919999999999999</v>
      </c>
      <c r="O55" s="85"/>
    </row>
    <row r="56" spans="1:15" x14ac:dyDescent="0.25">
      <c r="A56" s="68"/>
      <c r="B56" s="71"/>
      <c r="C56" s="72"/>
      <c r="D56" s="73">
        <v>40</v>
      </c>
      <c r="E56" s="74"/>
      <c r="F56" s="76"/>
      <c r="G56" s="56">
        <v>0.52</v>
      </c>
      <c r="H56" s="43">
        <f t="shared" si="4"/>
        <v>-0.44311247819296995</v>
      </c>
      <c r="I56" s="78">
        <f t="shared" si="2"/>
        <v>17.71479554471378</v>
      </c>
      <c r="J56" s="21">
        <f>IF(OR(G56="",H56=""),"",IF($G$21/G56&lt;1,"менее 2,0",IF(10^((H56-INTERCEPT($I$11:$I$14,$H$11:$H$14))/SLOPE($I$11:$I$14,$H$11:$H$14))&gt;$B$14,"более "&amp;$B$14&amp;",0",IF(10^((H56-INTERCEPT($I$11:$I$14,$H$11:$H$14))/SLOPE($I$11:$I$14,$H$11:$H$14))&lt;2,"менее 2,0",ROUND(10^((H56-INTERCEPT($I$11:$I$14,$H$11:$H$14))/SLOPE($I$11:$I$14,$H$11:$H$14))*F55,2)))))</f>
        <v>8.9</v>
      </c>
      <c r="K56" s="58">
        <f>IF(OR(J55="",J56=""),"",VLOOKUP(D55,$R$4:$V$16,3,FALSE))</f>
        <v>25</v>
      </c>
      <c r="L56" s="80"/>
      <c r="M56" s="82"/>
      <c r="N56" s="84"/>
      <c r="O56" s="86"/>
    </row>
    <row r="57" spans="1:15" x14ac:dyDescent="0.25">
      <c r="A57" s="67">
        <v>16</v>
      </c>
      <c r="B57" s="69"/>
      <c r="C57" s="70"/>
      <c r="D57" s="73">
        <v>6</v>
      </c>
      <c r="E57" s="74"/>
      <c r="F57" s="75">
        <f t="shared" ref="F57" si="46">VLOOKUP(D57,$R$4:$V$16,5,FALSE)</f>
        <v>1</v>
      </c>
      <c r="G57" s="56">
        <v>0.498</v>
      </c>
      <c r="H57" s="43">
        <f t="shared" si="4"/>
        <v>-0.46846003325789987</v>
      </c>
      <c r="I57" s="77">
        <f>IF(OR(G58="",G57=""),"",STDEV(G57:G58)/AVERAGE(G57:G58))</f>
        <v>3.0562572074860628E-2</v>
      </c>
      <c r="J57" s="21">
        <f>IF(OR(G57="",H57=""),"",IF($G$21/G57&lt;1,"менее 2,0",IF(10^((H57-INTERCEPT($I$11:$I$14,$H$11:$H$14))/SLOPE($I$11:$I$14,$H$11:$H$14))&gt;$B$14,"более "&amp;$B$14&amp;",0",IF(10^((H57-INTERCEPT($I$11:$I$14,$H$11:$H$14))/SLOPE($I$11:$I$14,$H$11:$H$14))&lt;2,"менее 2,0",ROUND(10^((H57-INTERCEPT($I$11:$I$14,$H$11:$H$14))/SLOPE($I$11:$I$14,$H$11:$H$14))*F57,2)))))</f>
        <v>9.42</v>
      </c>
      <c r="K57" s="57">
        <f>ABS(J57-J58)</f>
        <v>0.51999999999999957</v>
      </c>
      <c r="L57" s="79" t="str">
        <f t="shared" ref="L57" si="47">IF(M57="","",IF(M57="более "&amp;$B$14&amp;",0","",IF(M57="менее 2,0","",IF((200*K57)/(J57+J58)&lt;=K58,"приемлемо","неприемлемо"))))</f>
        <v>приемлемо</v>
      </c>
      <c r="M57" s="81">
        <f t="shared" ref="M57" si="48">IF(OR(J57="",J58=""),"",IF(OR(J57="менее 2,0",J58="менее 2,0"),"менее 2,0",IF(OR(J57="более "&amp;$B$14&amp;",0",J58="более "&amp;$B$14&amp;",0"),"более "&amp;$B$14&amp;",0",ROUND(AVERAGE(J57:J58),1))))</f>
        <v>9.1999999999999993</v>
      </c>
      <c r="N57" s="83">
        <f>IF(M57="","",IF(M57="более "&amp;$B$14&amp;",0","",IF(M57="менее 2,0","",0.01*M57*VLOOKUP(D57,$R$4:$U$16,4,FALSE))))</f>
        <v>2.3919999999999999</v>
      </c>
      <c r="O57" s="85"/>
    </row>
    <row r="58" spans="1:15" x14ac:dyDescent="0.25">
      <c r="A58" s="68"/>
      <c r="B58" s="71"/>
      <c r="C58" s="72"/>
      <c r="D58" s="73">
        <v>42</v>
      </c>
      <c r="E58" s="74"/>
      <c r="F58" s="76"/>
      <c r="G58" s="56">
        <v>0.52</v>
      </c>
      <c r="H58" s="43">
        <f t="shared" si="4"/>
        <v>-0.44311247819296995</v>
      </c>
      <c r="I58" s="78">
        <f t="shared" si="2"/>
        <v>17.71479554471378</v>
      </c>
      <c r="J58" s="21">
        <f>IF(OR(G58="",H58=""),"",IF($G$21/G58&lt;1,"менее 2,0",IF(10^((H58-INTERCEPT($I$11:$I$14,$H$11:$H$14))/SLOPE($I$11:$I$14,$H$11:$H$14))&gt;$B$14,"более "&amp;$B$14&amp;",0",IF(10^((H58-INTERCEPT($I$11:$I$14,$H$11:$H$14))/SLOPE($I$11:$I$14,$H$11:$H$14))&lt;2,"менее 2,0",ROUND(10^((H58-INTERCEPT($I$11:$I$14,$H$11:$H$14))/SLOPE($I$11:$I$14,$H$11:$H$14))*F57,2)))))</f>
        <v>8.9</v>
      </c>
      <c r="K58" s="58">
        <f>IF(OR(J57="",J58=""),"",VLOOKUP(D57,$R$4:$V$16,3,FALSE))</f>
        <v>25</v>
      </c>
      <c r="L58" s="80"/>
      <c r="M58" s="82"/>
      <c r="N58" s="84"/>
      <c r="O58" s="86"/>
    </row>
    <row r="59" spans="1:15" x14ac:dyDescent="0.25">
      <c r="A59" s="67">
        <v>17</v>
      </c>
      <c r="B59" s="69"/>
      <c r="C59" s="70"/>
      <c r="D59" s="73">
        <v>11</v>
      </c>
      <c r="E59" s="74"/>
      <c r="F59" s="75">
        <f t="shared" ref="F59" si="49">VLOOKUP(D59,$R$4:$V$16,5,FALSE)</f>
        <v>1</v>
      </c>
      <c r="G59" s="56">
        <v>2.8740000000000001</v>
      </c>
      <c r="H59" s="43" t="str">
        <f t="shared" si="4"/>
        <v>менее 2,0</v>
      </c>
      <c r="I59" s="77">
        <f>IF(OR(G60="",G59=""),"",STDEV(G59:G60)/AVERAGE(G59:G60))</f>
        <v>2.2241563359463753E-2</v>
      </c>
      <c r="J59" s="21" t="str">
        <f>IF(OR(G59="",H59=""),"",IF($G$21/G59&lt;1,"менее 2,0",IF(10^((H59-INTERCEPT($I$11:$I$14,$H$11:$H$14))/SLOPE($I$11:$I$14,$H$11:$H$14))&gt;$B$14,"более "&amp;$B$14&amp;",0",IF(10^((H59-INTERCEPT($I$11:$I$14,$H$11:$H$14))/SLOPE($I$11:$I$14,$H$11:$H$14))&lt;2,"менее 2,0",ROUND(10^((H59-INTERCEPT($I$11:$I$14,$H$11:$H$14))/SLOPE($I$11:$I$14,$H$11:$H$14))*F59,2)))))</f>
        <v>менее 2,0</v>
      </c>
      <c r="K59" s="57" t="e">
        <f>ABS(J59-J60)</f>
        <v>#VALUE!</v>
      </c>
      <c r="L59" s="79" t="str">
        <f t="shared" ref="L59" si="50">IF(M59="","",IF(M59="более "&amp;$B$14&amp;",0","",IF(M59="менее 2,0","",IF((200*K59)/(J59+J60)&lt;=K60,"приемлемо","неприемлемо"))))</f>
        <v/>
      </c>
      <c r="M59" s="81" t="str">
        <f t="shared" ref="M59" si="51">IF(OR(J59="",J60=""),"",IF(OR(J59="менее 2,0",J60="менее 2,0"),"менее 2,0",IF(OR(J59="более "&amp;$B$14&amp;",0",J60="более "&amp;$B$14&amp;",0"),"более "&amp;$B$14&amp;",0",ROUND(AVERAGE(J59:J60),1))))</f>
        <v>менее 2,0</v>
      </c>
      <c r="N59" s="83" t="str">
        <f>IF(M59="","",IF(M59="более "&amp;$B$14&amp;",0","",IF(M59="менее 2,0","",0.01*M59*VLOOKUP(D59,$R$4:$U$16,4,FALSE))))</f>
        <v/>
      </c>
      <c r="O59" s="85"/>
    </row>
    <row r="60" spans="1:15" x14ac:dyDescent="0.25">
      <c r="A60" s="68"/>
      <c r="B60" s="71"/>
      <c r="C60" s="72"/>
      <c r="D60" s="73">
        <v>44</v>
      </c>
      <c r="E60" s="74"/>
      <c r="F60" s="76"/>
      <c r="G60" s="56">
        <v>2.7850000000000001</v>
      </c>
      <c r="H60" s="43" t="str">
        <f t="shared" si="4"/>
        <v>менее 2,0</v>
      </c>
      <c r="I60" s="78" t="e">
        <f t="shared" si="2"/>
        <v>#DIV/0!</v>
      </c>
      <c r="J60" s="21" t="str">
        <f>IF(OR(G60="",H60=""),"",IF($G$21/G60&lt;1,"менее 2,0",IF(10^((H60-INTERCEPT($I$11:$I$14,$H$11:$H$14))/SLOPE($I$11:$I$14,$H$11:$H$14))&gt;$B$14,"более "&amp;$B$14&amp;",0",IF(10^((H60-INTERCEPT($I$11:$I$14,$H$11:$H$14))/SLOPE($I$11:$I$14,$H$11:$H$14))&lt;2,"менее 2,0",ROUND(10^((H60-INTERCEPT($I$11:$I$14,$H$11:$H$14))/SLOPE($I$11:$I$14,$H$11:$H$14))*F59,2)))))</f>
        <v>менее 2,0</v>
      </c>
      <c r="K60" s="58">
        <f>IF(OR(J59="",J60=""),"",VLOOKUP(D59,$R$4:$V$16,3,FALSE))</f>
        <v>25</v>
      </c>
      <c r="L60" s="80"/>
      <c r="M60" s="82"/>
      <c r="N60" s="84"/>
      <c r="O60" s="86"/>
    </row>
    <row r="61" spans="1:15" x14ac:dyDescent="0.25">
      <c r="A61" s="67">
        <v>18</v>
      </c>
      <c r="B61" s="69"/>
      <c r="C61" s="70"/>
      <c r="D61" s="73">
        <v>11</v>
      </c>
      <c r="E61" s="74"/>
      <c r="F61" s="75">
        <f t="shared" ref="F61" si="52">VLOOKUP(D61,$R$4:$V$16,5,FALSE)</f>
        <v>1</v>
      </c>
      <c r="G61" s="56">
        <v>0.498</v>
      </c>
      <c r="H61" s="43">
        <f t="shared" si="4"/>
        <v>-0.46846003325789987</v>
      </c>
      <c r="I61" s="77">
        <f>IF(OR(G62="",G61=""),"",STDEV(G61:G62)/AVERAGE(G61:G62))</f>
        <v>3.0562572074860628E-2</v>
      </c>
      <c r="J61" s="21">
        <f>IF(OR(G61="",H61=""),"",IF($G$21/G61&lt;1,"менее 2,0",IF(10^((H61-INTERCEPT($I$11:$I$14,$H$11:$H$14))/SLOPE($I$11:$I$14,$H$11:$H$14))&gt;$B$14,"более "&amp;$B$14&amp;",0",IF(10^((H61-INTERCEPT($I$11:$I$14,$H$11:$H$14))/SLOPE($I$11:$I$14,$H$11:$H$14))&lt;2,"менее 2,0",ROUND(10^((H61-INTERCEPT($I$11:$I$14,$H$11:$H$14))/SLOPE($I$11:$I$14,$H$11:$H$14))*F61,2)))))</f>
        <v>9.42</v>
      </c>
      <c r="K61" s="57">
        <f>ABS(J61-J62)</f>
        <v>0.51999999999999957</v>
      </c>
      <c r="L61" s="79" t="str">
        <f t="shared" ref="L61" si="53">IF(M61="","",IF(M61="более "&amp;$B$14&amp;",0","",IF(M61="менее 2,0","",IF((200*K61)/(J61+J62)&lt;=K62,"приемлемо","неприемлемо"))))</f>
        <v>приемлемо</v>
      </c>
      <c r="M61" s="81">
        <f t="shared" ref="M61" si="54">IF(OR(J61="",J62=""),"",IF(OR(J61="менее 2,0",J62="менее 2,0"),"менее 2,0",IF(OR(J61="более "&amp;$B$14&amp;",0",J62="более "&amp;$B$14&amp;",0"),"более "&amp;$B$14&amp;",0",ROUND(AVERAGE(J61:J62),1))))</f>
        <v>9.1999999999999993</v>
      </c>
      <c r="N61" s="83">
        <f>IF(M61="","",IF(M61="более "&amp;$B$14&amp;",0","",IF(M61="менее 2,0","",0.01*M61*VLOOKUP(D61,$R$4:$U$16,4,FALSE))))</f>
        <v>2.3919999999999999</v>
      </c>
      <c r="O61" s="85"/>
    </row>
    <row r="62" spans="1:15" x14ac:dyDescent="0.25">
      <c r="A62" s="68"/>
      <c r="B62" s="71"/>
      <c r="C62" s="72"/>
      <c r="D62" s="73">
        <v>46</v>
      </c>
      <c r="E62" s="74"/>
      <c r="F62" s="76"/>
      <c r="G62" s="56">
        <v>0.52</v>
      </c>
      <c r="H62" s="43">
        <f t="shared" si="4"/>
        <v>-0.44311247819296995</v>
      </c>
      <c r="I62" s="78">
        <f t="shared" si="2"/>
        <v>17.71479554471378</v>
      </c>
      <c r="J62" s="21">
        <f>IF(OR(G62="",H62=""),"",IF($G$21/G62&lt;1,"менее 2,0",IF(10^((H62-INTERCEPT($I$11:$I$14,$H$11:$H$14))/SLOPE($I$11:$I$14,$H$11:$H$14))&gt;$B$14,"более "&amp;$B$14&amp;",0",IF(10^((H62-INTERCEPT($I$11:$I$14,$H$11:$H$14))/SLOPE($I$11:$I$14,$H$11:$H$14))&lt;2,"менее 2,0",ROUND(10^((H62-INTERCEPT($I$11:$I$14,$H$11:$H$14))/SLOPE($I$11:$I$14,$H$11:$H$14))*F61,2)))))</f>
        <v>8.9</v>
      </c>
      <c r="K62" s="58">
        <f>IF(OR(J61="",J62=""),"",VLOOKUP(D61,$R$4:$V$16,3,FALSE))</f>
        <v>25</v>
      </c>
      <c r="L62" s="80"/>
      <c r="M62" s="82"/>
      <c r="N62" s="84"/>
      <c r="O62" s="86"/>
    </row>
    <row r="63" spans="1:15" x14ac:dyDescent="0.25">
      <c r="A63" s="67">
        <v>19</v>
      </c>
      <c r="B63" s="69"/>
      <c r="C63" s="70"/>
      <c r="D63" s="73">
        <v>2</v>
      </c>
      <c r="E63" s="74"/>
      <c r="F63" s="75">
        <f t="shared" ref="F63" si="55">VLOOKUP(D63,$R$4:$V$16,5,FALSE)</f>
        <v>1</v>
      </c>
      <c r="G63" s="56">
        <v>0.498</v>
      </c>
      <c r="H63" s="43">
        <f t="shared" si="4"/>
        <v>-0.46846003325789987</v>
      </c>
      <c r="I63" s="77">
        <f>IF(OR(G64="",G63=""),"",STDEV(G63:G64)/AVERAGE(G63:G64))</f>
        <v>3.0562572074860628E-2</v>
      </c>
      <c r="J63" s="21">
        <f>IF(OR(G63="",H63=""),"",IF($G$21/G63&lt;1,"менее 2,0",IF(10^((H63-INTERCEPT($I$11:$I$14,$H$11:$H$14))/SLOPE($I$11:$I$14,$H$11:$H$14))&gt;$B$14,"более "&amp;$B$14&amp;",0",IF(10^((H63-INTERCEPT($I$11:$I$14,$H$11:$H$14))/SLOPE($I$11:$I$14,$H$11:$H$14))&lt;2,"менее 2,0",ROUND(10^((H63-INTERCEPT($I$11:$I$14,$H$11:$H$14))/SLOPE($I$11:$I$14,$H$11:$H$14))*F63,2)))))</f>
        <v>9.42</v>
      </c>
      <c r="K63" s="57">
        <f>ABS(J63-J64)</f>
        <v>0.51999999999999957</v>
      </c>
      <c r="L63" s="79" t="str">
        <f t="shared" ref="L63" si="56">IF(M63="","",IF(M63="более "&amp;$B$14&amp;",0","",IF(M63="менее 2,0","",IF((200*K63)/(J63+J64)&lt;=K64,"приемлемо","неприемлемо"))))</f>
        <v>приемлемо</v>
      </c>
      <c r="M63" s="81">
        <f t="shared" ref="M63" si="57">IF(OR(J63="",J64=""),"",IF(OR(J63="менее 2,0",J64="менее 2,0"),"менее 2,0",IF(OR(J63="более "&amp;$B$14&amp;",0",J64="более "&amp;$B$14&amp;",0"),"более "&amp;$B$14&amp;",0",ROUND(AVERAGE(J63:J64),1))))</f>
        <v>9.1999999999999993</v>
      </c>
      <c r="N63" s="83">
        <f>IF(M63="","",IF(M63="более "&amp;$B$14&amp;",0","",IF(M63="менее 2,0","",0.01*M63*VLOOKUP(D63,$R$4:$U$16,4,FALSE))))</f>
        <v>2.3919999999999999</v>
      </c>
      <c r="O63" s="85"/>
    </row>
    <row r="64" spans="1:15" x14ac:dyDescent="0.25">
      <c r="A64" s="68"/>
      <c r="B64" s="71"/>
      <c r="C64" s="72"/>
      <c r="D64" s="73">
        <v>48</v>
      </c>
      <c r="E64" s="74"/>
      <c r="F64" s="76"/>
      <c r="G64" s="56">
        <v>0.52</v>
      </c>
      <c r="H64" s="43">
        <f t="shared" si="4"/>
        <v>-0.44311247819296995</v>
      </c>
      <c r="I64" s="78">
        <f t="shared" si="2"/>
        <v>17.71479554471378</v>
      </c>
      <c r="J64" s="21">
        <f>IF(OR(G64="",H64=""),"",IF($G$21/G64&lt;1,"менее 2,0",IF(10^((H64-INTERCEPT($I$11:$I$14,$H$11:$H$14))/SLOPE($I$11:$I$14,$H$11:$H$14))&gt;$B$14,"более "&amp;$B$14&amp;",0",IF(10^((H64-INTERCEPT($I$11:$I$14,$H$11:$H$14))/SLOPE($I$11:$I$14,$H$11:$H$14))&lt;2,"менее 2,0",ROUND(10^((H64-INTERCEPT($I$11:$I$14,$H$11:$H$14))/SLOPE($I$11:$I$14,$H$11:$H$14))*F63,2)))))</f>
        <v>8.9</v>
      </c>
      <c r="K64" s="58">
        <f>IF(OR(J63="",J64=""),"",VLOOKUP(D63,$R$4:$V$16,3,FALSE))</f>
        <v>25</v>
      </c>
      <c r="L64" s="80"/>
      <c r="M64" s="82"/>
      <c r="N64" s="84"/>
      <c r="O64" s="86"/>
    </row>
    <row r="65" spans="1:15" x14ac:dyDescent="0.25">
      <c r="A65" s="67">
        <v>20</v>
      </c>
      <c r="B65" s="69"/>
      <c r="C65" s="70"/>
      <c r="D65" s="73">
        <v>12</v>
      </c>
      <c r="E65" s="74"/>
      <c r="F65" s="75">
        <f t="shared" ref="F65" si="58">VLOOKUP(D65,$R$4:$V$16,5,FALSE)</f>
        <v>1</v>
      </c>
      <c r="G65" s="56">
        <v>0.498</v>
      </c>
      <c r="H65" s="43">
        <f t="shared" si="4"/>
        <v>-0.46846003325789987</v>
      </c>
      <c r="I65" s="77">
        <f>IF(OR(G66="",G65=""),"",STDEV(G65:G66)/AVERAGE(G65:G66))</f>
        <v>3.0562572074860628E-2</v>
      </c>
      <c r="J65" s="21">
        <f>IF(OR(G65="",H65=""),"",IF($G$21/G65&lt;1,"менее 2,0",IF(10^((H65-INTERCEPT($I$11:$I$14,$H$11:$H$14))/SLOPE($I$11:$I$14,$H$11:$H$14))&gt;$B$14,"более "&amp;$B$14&amp;",0",IF(10^((H65-INTERCEPT($I$11:$I$14,$H$11:$H$14))/SLOPE($I$11:$I$14,$H$11:$H$14))&lt;2,"менее 2,0",ROUND(10^((H65-INTERCEPT($I$11:$I$14,$H$11:$H$14))/SLOPE($I$11:$I$14,$H$11:$H$14))*F65,2)))))</f>
        <v>9.42</v>
      </c>
      <c r="K65" s="57">
        <f>ABS(J65-J66)</f>
        <v>0.51999999999999957</v>
      </c>
      <c r="L65" s="79" t="str">
        <f t="shared" ref="L65" si="59">IF(M65="","",IF(M65="более "&amp;$B$14&amp;",0","",IF(M65="менее 2,0","",IF((200*K65)/(J65+J66)&lt;=K66,"приемлемо","неприемлемо"))))</f>
        <v>приемлемо</v>
      </c>
      <c r="M65" s="81">
        <f t="shared" ref="M65" si="60">IF(OR(J65="",J66=""),"",IF(OR(J65="менее 2,0",J66="менее 2,0"),"менее 2,0",IF(OR(J65="более "&amp;$B$14&amp;",0",J66="более "&amp;$B$14&amp;",0"),"более "&amp;$B$14&amp;",0",ROUND(AVERAGE(J65:J66),1))))</f>
        <v>9.1999999999999993</v>
      </c>
      <c r="N65" s="83">
        <f>IF(M65="","",IF(M65="более "&amp;$B$14&amp;",0","",IF(M65="менее 2,0","",0.01*M65*VLOOKUP(D65,$R$4:$U$16,4,FALSE))))</f>
        <v>2.3919999999999999</v>
      </c>
      <c r="O65" s="85"/>
    </row>
    <row r="66" spans="1:15" x14ac:dyDescent="0.25">
      <c r="A66" s="68"/>
      <c r="B66" s="71"/>
      <c r="C66" s="72"/>
      <c r="D66" s="73">
        <v>50</v>
      </c>
      <c r="E66" s="74"/>
      <c r="F66" s="76"/>
      <c r="G66" s="56">
        <v>0.52</v>
      </c>
      <c r="H66" s="43">
        <f t="shared" si="4"/>
        <v>-0.44311247819296995</v>
      </c>
      <c r="I66" s="78">
        <f>IF(G66=H66,"0,0%",STDEV(G66:H66)/AVERAGE(G66:H66))</f>
        <v>17.71479554471378</v>
      </c>
      <c r="J66" s="21">
        <f>IF(OR(G66="",H66=""),"",IF($G$21/G66&lt;1,"менее 2,0",IF(10^((H66-INTERCEPT($I$11:$I$14,$H$11:$H$14))/SLOPE($I$11:$I$14,$H$11:$H$14))&gt;$B$14,"более "&amp;$B$14&amp;",0",IF(10^((H66-INTERCEPT($I$11:$I$14,$H$11:$H$14))/SLOPE($I$11:$I$14,$H$11:$H$14))&lt;2,"менее 2,0",ROUND(10^((H66-INTERCEPT($I$11:$I$14,$H$11:$H$14))/SLOPE($I$11:$I$14,$H$11:$H$14))*F65,2)))))</f>
        <v>8.9</v>
      </c>
      <c r="K66" s="58">
        <f>IF(OR(J65="",J66=""),"",VLOOKUP(D65,$R$4:$V$16,3,FALSE))</f>
        <v>25</v>
      </c>
      <c r="L66" s="80"/>
      <c r="M66" s="82"/>
      <c r="N66" s="84"/>
      <c r="O66" s="86"/>
    </row>
  </sheetData>
  <mergeCells count="232">
    <mergeCell ref="A2:I2"/>
    <mergeCell ref="A4:B4"/>
    <mergeCell ref="C4:H4"/>
    <mergeCell ref="A5:B5"/>
    <mergeCell ref="C5:H5"/>
    <mergeCell ref="A6:B6"/>
    <mergeCell ref="C6:H6"/>
    <mergeCell ref="M20:N20"/>
    <mergeCell ref="B21:C21"/>
    <mergeCell ref="D21:E21"/>
    <mergeCell ref="B22:C22"/>
    <mergeCell ref="D22:E22"/>
    <mergeCell ref="M22:N22"/>
    <mergeCell ref="A7:B7"/>
    <mergeCell ref="C7:H7"/>
    <mergeCell ref="A9:C9"/>
    <mergeCell ref="D9:E9"/>
    <mergeCell ref="B20:C20"/>
    <mergeCell ref="D20:E20"/>
    <mergeCell ref="B25:C25"/>
    <mergeCell ref="D25:E25"/>
    <mergeCell ref="M25:N25"/>
    <mergeCell ref="B26:C26"/>
    <mergeCell ref="D26:E26"/>
    <mergeCell ref="B23:C23"/>
    <mergeCell ref="D23:E23"/>
    <mergeCell ref="M23:N23"/>
    <mergeCell ref="B24:C24"/>
    <mergeCell ref="D24:E24"/>
    <mergeCell ref="M24:N24"/>
    <mergeCell ref="M27:M28"/>
    <mergeCell ref="N27:N28"/>
    <mergeCell ref="O27:O28"/>
    <mergeCell ref="D28:E28"/>
    <mergeCell ref="A29:A30"/>
    <mergeCell ref="B29:C30"/>
    <mergeCell ref="D29:E29"/>
    <mergeCell ref="F29:F30"/>
    <mergeCell ref="I29:I30"/>
    <mergeCell ref="L29:L30"/>
    <mergeCell ref="A27:A28"/>
    <mergeCell ref="B27:C28"/>
    <mergeCell ref="D27:E27"/>
    <mergeCell ref="F27:F28"/>
    <mergeCell ref="I27:I28"/>
    <mergeCell ref="L27:L28"/>
    <mergeCell ref="M29:M30"/>
    <mergeCell ref="N29:N30"/>
    <mergeCell ref="O29:O30"/>
    <mergeCell ref="D30:E30"/>
    <mergeCell ref="A31:A32"/>
    <mergeCell ref="B31:C32"/>
    <mergeCell ref="D31:E31"/>
    <mergeCell ref="F31:F32"/>
    <mergeCell ref="I31:I32"/>
    <mergeCell ref="L31:L32"/>
    <mergeCell ref="M31:M32"/>
    <mergeCell ref="N31:N32"/>
    <mergeCell ref="O31:O32"/>
    <mergeCell ref="D32:E32"/>
    <mergeCell ref="A33:A34"/>
    <mergeCell ref="B33:C34"/>
    <mergeCell ref="D33:E33"/>
    <mergeCell ref="F33:F34"/>
    <mergeCell ref="I33:I34"/>
    <mergeCell ref="L33:L34"/>
    <mergeCell ref="M33:M34"/>
    <mergeCell ref="N33:N34"/>
    <mergeCell ref="O33:O34"/>
    <mergeCell ref="D34:E34"/>
    <mergeCell ref="A35:A36"/>
    <mergeCell ref="B35:C36"/>
    <mergeCell ref="D35:E35"/>
    <mergeCell ref="F35:F36"/>
    <mergeCell ref="I35:I36"/>
    <mergeCell ref="L35:L36"/>
    <mergeCell ref="M35:M36"/>
    <mergeCell ref="N35:N36"/>
    <mergeCell ref="O35:O36"/>
    <mergeCell ref="D36:E36"/>
    <mergeCell ref="A37:A38"/>
    <mergeCell ref="B37:C38"/>
    <mergeCell ref="D37:E37"/>
    <mergeCell ref="F37:F38"/>
    <mergeCell ref="I37:I38"/>
    <mergeCell ref="L37:L38"/>
    <mergeCell ref="M37:M38"/>
    <mergeCell ref="N37:N38"/>
    <mergeCell ref="O37:O38"/>
    <mergeCell ref="D38:E38"/>
    <mergeCell ref="A39:A40"/>
    <mergeCell ref="B39:C40"/>
    <mergeCell ref="D39:E39"/>
    <mergeCell ref="F39:F40"/>
    <mergeCell ref="I39:I40"/>
    <mergeCell ref="L39:L40"/>
    <mergeCell ref="M39:M40"/>
    <mergeCell ref="N39:N40"/>
    <mergeCell ref="O39:O40"/>
    <mergeCell ref="D40:E40"/>
    <mergeCell ref="A41:A42"/>
    <mergeCell ref="B41:C42"/>
    <mergeCell ref="D41:E41"/>
    <mergeCell ref="F41:F42"/>
    <mergeCell ref="I41:I42"/>
    <mergeCell ref="L41:L42"/>
    <mergeCell ref="M41:M42"/>
    <mergeCell ref="N41:N42"/>
    <mergeCell ref="O41:O42"/>
    <mergeCell ref="D42:E42"/>
    <mergeCell ref="A43:A44"/>
    <mergeCell ref="B43:C44"/>
    <mergeCell ref="D43:E43"/>
    <mergeCell ref="F43:F44"/>
    <mergeCell ref="I43:I44"/>
    <mergeCell ref="L43:L44"/>
    <mergeCell ref="M43:M44"/>
    <mergeCell ref="N43:N44"/>
    <mergeCell ref="O43:O44"/>
    <mergeCell ref="D44:E44"/>
    <mergeCell ref="A45:A46"/>
    <mergeCell ref="B45:C46"/>
    <mergeCell ref="D45:E45"/>
    <mergeCell ref="F45:F46"/>
    <mergeCell ref="I45:I46"/>
    <mergeCell ref="L45:L46"/>
    <mergeCell ref="M45:M46"/>
    <mergeCell ref="N45:N46"/>
    <mergeCell ref="O45:O46"/>
    <mergeCell ref="D46:E46"/>
    <mergeCell ref="A47:A48"/>
    <mergeCell ref="B47:C48"/>
    <mergeCell ref="D47:E47"/>
    <mergeCell ref="F47:F48"/>
    <mergeCell ref="I47:I48"/>
    <mergeCell ref="L47:L48"/>
    <mergeCell ref="M47:M48"/>
    <mergeCell ref="N47:N48"/>
    <mergeCell ref="O47:O48"/>
    <mergeCell ref="D48:E48"/>
    <mergeCell ref="A49:A50"/>
    <mergeCell ref="B49:C50"/>
    <mergeCell ref="D49:E49"/>
    <mergeCell ref="F49:F50"/>
    <mergeCell ref="I49:I50"/>
    <mergeCell ref="L49:L50"/>
    <mergeCell ref="M49:M50"/>
    <mergeCell ref="N49:N50"/>
    <mergeCell ref="O49:O50"/>
    <mergeCell ref="D50:E50"/>
    <mergeCell ref="A51:A52"/>
    <mergeCell ref="B51:C52"/>
    <mergeCell ref="D51:E51"/>
    <mergeCell ref="F51:F52"/>
    <mergeCell ref="I51:I52"/>
    <mergeCell ref="L51:L52"/>
    <mergeCell ref="M51:M52"/>
    <mergeCell ref="N51:N52"/>
    <mergeCell ref="O51:O52"/>
    <mergeCell ref="D52:E52"/>
    <mergeCell ref="B53:C54"/>
    <mergeCell ref="D53:E53"/>
    <mergeCell ref="F53:F54"/>
    <mergeCell ref="I53:I54"/>
    <mergeCell ref="L53:L54"/>
    <mergeCell ref="M53:M54"/>
    <mergeCell ref="N53:N54"/>
    <mergeCell ref="O53:O54"/>
    <mergeCell ref="D54:E54"/>
    <mergeCell ref="N57:N58"/>
    <mergeCell ref="O57:O58"/>
    <mergeCell ref="D58:E58"/>
    <mergeCell ref="A55:A56"/>
    <mergeCell ref="B55:C56"/>
    <mergeCell ref="D55:E55"/>
    <mergeCell ref="F55:F56"/>
    <mergeCell ref="I55:I56"/>
    <mergeCell ref="L55:L56"/>
    <mergeCell ref="M55:M56"/>
    <mergeCell ref="N55:N56"/>
    <mergeCell ref="O55:O56"/>
    <mergeCell ref="D56:E56"/>
    <mergeCell ref="N61:N62"/>
    <mergeCell ref="O61:O62"/>
    <mergeCell ref="D62:E62"/>
    <mergeCell ref="A59:A60"/>
    <mergeCell ref="B59:C60"/>
    <mergeCell ref="D59:E59"/>
    <mergeCell ref="F59:F60"/>
    <mergeCell ref="I59:I60"/>
    <mergeCell ref="L59:L60"/>
    <mergeCell ref="M59:M60"/>
    <mergeCell ref="N59:N60"/>
    <mergeCell ref="O59:O60"/>
    <mergeCell ref="D60:E60"/>
    <mergeCell ref="N65:N66"/>
    <mergeCell ref="O65:O66"/>
    <mergeCell ref="D66:E66"/>
    <mergeCell ref="M63:M64"/>
    <mergeCell ref="N63:N64"/>
    <mergeCell ref="O63:O64"/>
    <mergeCell ref="D64:E64"/>
    <mergeCell ref="A65:A66"/>
    <mergeCell ref="B65:C66"/>
    <mergeCell ref="D65:E65"/>
    <mergeCell ref="F65:F66"/>
    <mergeCell ref="I65:I66"/>
    <mergeCell ref="L65:L66"/>
    <mergeCell ref="A1:D1"/>
    <mergeCell ref="E1:I1"/>
    <mergeCell ref="A63:A64"/>
    <mergeCell ref="B63:C64"/>
    <mergeCell ref="D63:E63"/>
    <mergeCell ref="F63:F64"/>
    <mergeCell ref="I63:I64"/>
    <mergeCell ref="L63:L64"/>
    <mergeCell ref="M65:M66"/>
    <mergeCell ref="A61:A62"/>
    <mergeCell ref="B61:C62"/>
    <mergeCell ref="D61:E61"/>
    <mergeCell ref="F61:F62"/>
    <mergeCell ref="I61:I62"/>
    <mergeCell ref="L61:L62"/>
    <mergeCell ref="M61:M62"/>
    <mergeCell ref="A57:A58"/>
    <mergeCell ref="B57:C58"/>
    <mergeCell ref="D57:E57"/>
    <mergeCell ref="F57:F58"/>
    <mergeCell ref="I57:I58"/>
    <mergeCell ref="L57:L58"/>
    <mergeCell ref="M57:M58"/>
    <mergeCell ref="A53:A54"/>
  </mergeCells>
  <pageMargins left="0.7" right="0.7" top="0.32" bottom="0.32" header="0.3" footer="0.3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47625</xdr:colOff>
                    <xdr:row>26</xdr:row>
                    <xdr:rowOff>57150</xdr:rowOff>
                  </from>
                  <to>
                    <xdr:col>5</xdr:col>
                    <xdr:colOff>9525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</xdr:col>
                    <xdr:colOff>47625</xdr:colOff>
                    <xdr:row>28</xdr:row>
                    <xdr:rowOff>57150</xdr:rowOff>
                  </from>
                  <to>
                    <xdr:col>5</xdr:col>
                    <xdr:colOff>9525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47625</xdr:colOff>
                    <xdr:row>30</xdr:row>
                    <xdr:rowOff>57150</xdr:rowOff>
                  </from>
                  <to>
                    <xdr:col>5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3</xdr:col>
                    <xdr:colOff>47625</xdr:colOff>
                    <xdr:row>32</xdr:row>
                    <xdr:rowOff>57150</xdr:rowOff>
                  </from>
                  <to>
                    <xdr:col>5</xdr:col>
                    <xdr:colOff>9525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3</xdr:col>
                    <xdr:colOff>47625</xdr:colOff>
                    <xdr:row>34</xdr:row>
                    <xdr:rowOff>57150</xdr:rowOff>
                  </from>
                  <to>
                    <xdr:col>5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3</xdr:col>
                    <xdr:colOff>47625</xdr:colOff>
                    <xdr:row>36</xdr:row>
                    <xdr:rowOff>57150</xdr:rowOff>
                  </from>
                  <to>
                    <xdr:col>5</xdr:col>
                    <xdr:colOff>9525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defaultSize="0" autoLine="0" autoPict="0">
                <anchor moveWithCells="1">
                  <from>
                    <xdr:col>3</xdr:col>
                    <xdr:colOff>47625</xdr:colOff>
                    <xdr:row>38</xdr:row>
                    <xdr:rowOff>57150</xdr:rowOff>
                  </from>
                  <to>
                    <xdr:col>5</xdr:col>
                    <xdr:colOff>9525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autoLine="0" autoPict="0">
                <anchor moveWithCells="1">
                  <from>
                    <xdr:col>3</xdr:col>
                    <xdr:colOff>47625</xdr:colOff>
                    <xdr:row>40</xdr:row>
                    <xdr:rowOff>57150</xdr:rowOff>
                  </from>
                  <to>
                    <xdr:col>5</xdr:col>
                    <xdr:colOff>9525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Drop Down 9">
              <controlPr defaultSize="0" autoLine="0" autoPict="0">
                <anchor moveWithCells="1">
                  <from>
                    <xdr:col>3</xdr:col>
                    <xdr:colOff>47625</xdr:colOff>
                    <xdr:row>42</xdr:row>
                    <xdr:rowOff>57150</xdr:rowOff>
                  </from>
                  <to>
                    <xdr:col>5</xdr:col>
                    <xdr:colOff>9525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Drop Down 10">
              <controlPr defaultSize="0" autoLine="0" autoPict="0">
                <anchor moveWithCells="1">
                  <from>
                    <xdr:col>3</xdr:col>
                    <xdr:colOff>47625</xdr:colOff>
                    <xdr:row>44</xdr:row>
                    <xdr:rowOff>57150</xdr:rowOff>
                  </from>
                  <to>
                    <xdr:col>5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Drop Down 11">
              <controlPr defaultSize="0" autoLine="0" autoPict="0">
                <anchor moveWithCells="1">
                  <from>
                    <xdr:col>3</xdr:col>
                    <xdr:colOff>47625</xdr:colOff>
                    <xdr:row>46</xdr:row>
                    <xdr:rowOff>57150</xdr:rowOff>
                  </from>
                  <to>
                    <xdr:col>5</xdr:col>
                    <xdr:colOff>9525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Drop Down 12">
              <controlPr defaultSize="0" autoLine="0" autoPict="0">
                <anchor moveWithCells="1">
                  <from>
                    <xdr:col>3</xdr:col>
                    <xdr:colOff>47625</xdr:colOff>
                    <xdr:row>48</xdr:row>
                    <xdr:rowOff>57150</xdr:rowOff>
                  </from>
                  <to>
                    <xdr:col>5</xdr:col>
                    <xdr:colOff>9525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Drop Down 13">
              <controlPr defaultSize="0" autoLine="0" autoPict="0">
                <anchor moveWithCells="1">
                  <from>
                    <xdr:col>3</xdr:col>
                    <xdr:colOff>47625</xdr:colOff>
                    <xdr:row>50</xdr:row>
                    <xdr:rowOff>57150</xdr:rowOff>
                  </from>
                  <to>
                    <xdr:col>5</xdr:col>
                    <xdr:colOff>9525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Drop Down 14">
              <controlPr defaultSize="0" autoLine="0" autoPict="0">
                <anchor moveWithCells="1">
                  <from>
                    <xdr:col>3</xdr:col>
                    <xdr:colOff>47625</xdr:colOff>
                    <xdr:row>52</xdr:row>
                    <xdr:rowOff>57150</xdr:rowOff>
                  </from>
                  <to>
                    <xdr:col>5</xdr:col>
                    <xdr:colOff>9525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Drop Down 15">
              <controlPr defaultSize="0" autoLine="0" autoPict="0">
                <anchor moveWithCells="1">
                  <from>
                    <xdr:col>3</xdr:col>
                    <xdr:colOff>47625</xdr:colOff>
                    <xdr:row>54</xdr:row>
                    <xdr:rowOff>57150</xdr:rowOff>
                  </from>
                  <to>
                    <xdr:col>5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Drop Down 16">
              <controlPr defaultSize="0" autoLine="0" autoPict="0">
                <anchor moveWithCells="1">
                  <from>
                    <xdr:col>3</xdr:col>
                    <xdr:colOff>47625</xdr:colOff>
                    <xdr:row>56</xdr:row>
                    <xdr:rowOff>57150</xdr:rowOff>
                  </from>
                  <to>
                    <xdr:col>5</xdr:col>
                    <xdr:colOff>9525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Drop Down 17">
              <controlPr defaultSize="0" autoLine="0" autoPict="0">
                <anchor moveWithCells="1">
                  <from>
                    <xdr:col>3</xdr:col>
                    <xdr:colOff>47625</xdr:colOff>
                    <xdr:row>58</xdr:row>
                    <xdr:rowOff>57150</xdr:rowOff>
                  </from>
                  <to>
                    <xdr:col>5</xdr:col>
                    <xdr:colOff>9525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Drop Down 18">
              <controlPr defaultSize="0" autoLine="0" autoPict="0">
                <anchor moveWithCells="1">
                  <from>
                    <xdr:col>3</xdr:col>
                    <xdr:colOff>47625</xdr:colOff>
                    <xdr:row>60</xdr:row>
                    <xdr:rowOff>57150</xdr:rowOff>
                  </from>
                  <to>
                    <xdr:col>5</xdr:col>
                    <xdr:colOff>9525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Drop Down 19">
              <controlPr defaultSize="0" autoLine="0" autoPict="0">
                <anchor moveWithCells="1">
                  <from>
                    <xdr:col>3</xdr:col>
                    <xdr:colOff>47625</xdr:colOff>
                    <xdr:row>62</xdr:row>
                    <xdr:rowOff>57150</xdr:rowOff>
                  </from>
                  <to>
                    <xdr:col>5</xdr:col>
                    <xdr:colOff>9525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Drop Down 20">
              <controlPr defaultSize="0" autoLine="0" autoPict="0">
                <anchor moveWithCells="1">
                  <from>
                    <xdr:col>3</xdr:col>
                    <xdr:colOff>47625</xdr:colOff>
                    <xdr:row>64</xdr:row>
                    <xdr:rowOff>57150</xdr:rowOff>
                  </from>
                  <to>
                    <xdr:col>5</xdr:col>
                    <xdr:colOff>9525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Drop Down 22">
              <controlPr defaultSize="0" autoLine="0" autoPict="0">
                <anchor moveWithCells="1">
                  <from>
                    <xdr:col>3</xdr:col>
                    <xdr:colOff>47625</xdr:colOff>
                    <xdr:row>28</xdr:row>
                    <xdr:rowOff>57150</xdr:rowOff>
                  </from>
                  <to>
                    <xdr:col>5</xdr:col>
                    <xdr:colOff>9525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Drop Down 24">
              <controlPr defaultSize="0" autoLine="0" autoPict="0">
                <anchor moveWithCells="1">
                  <from>
                    <xdr:col>3</xdr:col>
                    <xdr:colOff>47625</xdr:colOff>
                    <xdr:row>30</xdr:row>
                    <xdr:rowOff>57150</xdr:rowOff>
                  </from>
                  <to>
                    <xdr:col>5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Drop Down 26">
              <controlPr defaultSize="0" autoLine="0" autoPict="0">
                <anchor moveWithCells="1">
                  <from>
                    <xdr:col>3</xdr:col>
                    <xdr:colOff>47625</xdr:colOff>
                    <xdr:row>32</xdr:row>
                    <xdr:rowOff>57150</xdr:rowOff>
                  </from>
                  <to>
                    <xdr:col>5</xdr:col>
                    <xdr:colOff>9525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Drop Down 28">
              <controlPr defaultSize="0" autoLine="0" autoPict="0">
                <anchor moveWithCells="1">
                  <from>
                    <xdr:col>3</xdr:col>
                    <xdr:colOff>47625</xdr:colOff>
                    <xdr:row>34</xdr:row>
                    <xdr:rowOff>57150</xdr:rowOff>
                  </from>
                  <to>
                    <xdr:col>5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Drop Down 30">
              <controlPr defaultSize="0" autoLine="0" autoPict="0">
                <anchor moveWithCells="1">
                  <from>
                    <xdr:col>3</xdr:col>
                    <xdr:colOff>47625</xdr:colOff>
                    <xdr:row>36</xdr:row>
                    <xdr:rowOff>57150</xdr:rowOff>
                  </from>
                  <to>
                    <xdr:col>5</xdr:col>
                    <xdr:colOff>9525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Drop Down 32">
              <controlPr defaultSize="0" autoLine="0" autoPict="0">
                <anchor moveWithCells="1">
                  <from>
                    <xdr:col>3</xdr:col>
                    <xdr:colOff>47625</xdr:colOff>
                    <xdr:row>38</xdr:row>
                    <xdr:rowOff>57150</xdr:rowOff>
                  </from>
                  <to>
                    <xdr:col>5</xdr:col>
                    <xdr:colOff>9525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Drop Down 34">
              <controlPr defaultSize="0" autoLine="0" autoPict="0">
                <anchor moveWithCells="1">
                  <from>
                    <xdr:col>3</xdr:col>
                    <xdr:colOff>47625</xdr:colOff>
                    <xdr:row>40</xdr:row>
                    <xdr:rowOff>57150</xdr:rowOff>
                  </from>
                  <to>
                    <xdr:col>5</xdr:col>
                    <xdr:colOff>9525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Drop Down 36">
              <controlPr defaultSize="0" autoLine="0" autoPict="0">
                <anchor moveWithCells="1">
                  <from>
                    <xdr:col>3</xdr:col>
                    <xdr:colOff>47625</xdr:colOff>
                    <xdr:row>42</xdr:row>
                    <xdr:rowOff>57150</xdr:rowOff>
                  </from>
                  <to>
                    <xdr:col>5</xdr:col>
                    <xdr:colOff>9525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Drop Down 38">
              <controlPr defaultSize="0" autoLine="0" autoPict="0">
                <anchor moveWithCells="1">
                  <from>
                    <xdr:col>3</xdr:col>
                    <xdr:colOff>47625</xdr:colOff>
                    <xdr:row>44</xdr:row>
                    <xdr:rowOff>57150</xdr:rowOff>
                  </from>
                  <to>
                    <xdr:col>5</xdr:col>
                    <xdr:colOff>9525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Drop Down 40">
              <controlPr defaultSize="0" autoLine="0" autoPict="0">
                <anchor moveWithCells="1">
                  <from>
                    <xdr:col>3</xdr:col>
                    <xdr:colOff>47625</xdr:colOff>
                    <xdr:row>46</xdr:row>
                    <xdr:rowOff>57150</xdr:rowOff>
                  </from>
                  <to>
                    <xdr:col>5</xdr:col>
                    <xdr:colOff>9525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Drop Down 42">
              <controlPr defaultSize="0" autoLine="0" autoPict="0">
                <anchor moveWithCells="1">
                  <from>
                    <xdr:col>3</xdr:col>
                    <xdr:colOff>47625</xdr:colOff>
                    <xdr:row>48</xdr:row>
                    <xdr:rowOff>57150</xdr:rowOff>
                  </from>
                  <to>
                    <xdr:col>5</xdr:col>
                    <xdr:colOff>9525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Drop Down 44">
              <controlPr defaultSize="0" autoLine="0" autoPict="0">
                <anchor moveWithCells="1">
                  <from>
                    <xdr:col>3</xdr:col>
                    <xdr:colOff>47625</xdr:colOff>
                    <xdr:row>50</xdr:row>
                    <xdr:rowOff>57150</xdr:rowOff>
                  </from>
                  <to>
                    <xdr:col>5</xdr:col>
                    <xdr:colOff>9525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Drop Down 46">
              <controlPr defaultSize="0" autoLine="0" autoPict="0">
                <anchor moveWithCells="1">
                  <from>
                    <xdr:col>3</xdr:col>
                    <xdr:colOff>47625</xdr:colOff>
                    <xdr:row>52</xdr:row>
                    <xdr:rowOff>57150</xdr:rowOff>
                  </from>
                  <to>
                    <xdr:col>5</xdr:col>
                    <xdr:colOff>9525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Drop Down 48">
              <controlPr defaultSize="0" autoLine="0" autoPict="0">
                <anchor moveWithCells="1">
                  <from>
                    <xdr:col>3</xdr:col>
                    <xdr:colOff>47625</xdr:colOff>
                    <xdr:row>54</xdr:row>
                    <xdr:rowOff>57150</xdr:rowOff>
                  </from>
                  <to>
                    <xdr:col>5</xdr:col>
                    <xdr:colOff>9525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Drop Down 50">
              <controlPr defaultSize="0" autoLine="0" autoPict="0">
                <anchor moveWithCells="1">
                  <from>
                    <xdr:col>3</xdr:col>
                    <xdr:colOff>47625</xdr:colOff>
                    <xdr:row>56</xdr:row>
                    <xdr:rowOff>57150</xdr:rowOff>
                  </from>
                  <to>
                    <xdr:col>5</xdr:col>
                    <xdr:colOff>9525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Drop Down 52">
              <controlPr defaultSize="0" autoLine="0" autoPict="0">
                <anchor moveWithCells="1">
                  <from>
                    <xdr:col>3</xdr:col>
                    <xdr:colOff>47625</xdr:colOff>
                    <xdr:row>58</xdr:row>
                    <xdr:rowOff>57150</xdr:rowOff>
                  </from>
                  <to>
                    <xdr:col>5</xdr:col>
                    <xdr:colOff>9525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Drop Down 54">
              <controlPr defaultSize="0" autoLine="0" autoPict="0">
                <anchor moveWithCells="1">
                  <from>
                    <xdr:col>3</xdr:col>
                    <xdr:colOff>47625</xdr:colOff>
                    <xdr:row>60</xdr:row>
                    <xdr:rowOff>57150</xdr:rowOff>
                  </from>
                  <to>
                    <xdr:col>5</xdr:col>
                    <xdr:colOff>9525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Drop Down 56">
              <controlPr defaultSize="0" autoLine="0" autoPict="0">
                <anchor moveWithCells="1">
                  <from>
                    <xdr:col>3</xdr:col>
                    <xdr:colOff>47625</xdr:colOff>
                    <xdr:row>62</xdr:row>
                    <xdr:rowOff>57150</xdr:rowOff>
                  </from>
                  <to>
                    <xdr:col>5</xdr:col>
                    <xdr:colOff>9525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Drop Down 58">
              <controlPr defaultSize="0" autoLine="0" autoPict="0">
                <anchor moveWithCells="1">
                  <from>
                    <xdr:col>3</xdr:col>
                    <xdr:colOff>47625</xdr:colOff>
                    <xdr:row>64</xdr:row>
                    <xdr:rowOff>57150</xdr:rowOff>
                  </from>
                  <to>
                    <xdr:col>5</xdr:col>
                    <xdr:colOff>9525</xdr:colOff>
                    <xdr:row>65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04.02.20  (2)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Драгун</cp:lastModifiedBy>
  <cp:lastPrinted>2022-02-17T12:56:58Z</cp:lastPrinted>
  <dcterms:created xsi:type="dcterms:W3CDTF">2021-04-20T08:31:45Z</dcterms:created>
  <dcterms:modified xsi:type="dcterms:W3CDTF">2025-01-15T11:39:29Z</dcterms:modified>
</cp:coreProperties>
</file>