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Kup\ЛХБГ\Продоскрин выпуск\Продоскрин ИФА-Пенициллин\"/>
    </mc:Choice>
  </mc:AlternateContent>
  <xr:revisionPtr revIDLastSave="0" documentId="13_ncr:1_{CAFABCA8-54F5-49F5-9A3A-1DED0DDF9B20}" xr6:coauthVersionLast="37" xr6:coauthVersionMax="45" xr10:uidLastSave="{00000000-0000-0000-0000-000000000000}"/>
  <bookViews>
    <workbookView xWindow="0" yWindow="0" windowWidth="28800" windowHeight="11325" xr2:uid="{00000000-000D-0000-FFFF-FFFF00000000}"/>
  </bookViews>
  <sheets>
    <sheet name="Продоскрин ИФА-Пенициллин" sheetId="1" r:id="rId1"/>
    <sheet name="Лист2" sheetId="3" r:id="rId2"/>
  </sheets>
  <externalReferences>
    <externalReference r:id="rId3"/>
  </externalReferences>
  <definedNames>
    <definedName name="Auto4">'[1]С холостой пробой'!#REF!</definedName>
    <definedName name="F_dil">'[1]С холостой пробой'!$H$61</definedName>
    <definedName name="STEP_1__TEST_NOTES">#REF!</definedName>
    <definedName name="STEP_2__PLATE_LAYOUT_DIAGRAM">#REF!</definedName>
    <definedName name="STEP_3__OD450_INPUT">#REF!</definedName>
    <definedName name="STEP_4__PLEASE_DEFINE_SAMPLE_1___IS_IT_A_SOLVENT_BLANK_SAMPLE?">#REF!</definedName>
    <definedName name="STEP_5__STANDARDS_CONCENTRATION_VALUES">#REF!</definedName>
    <definedName name="STEP_6__POSITIVE_CUT_OFF_VALUE">#REF!</definedName>
    <definedName name="STEP_7__SAMPLE_DILUTION_FACTOR">#REF!</definedName>
    <definedName name="STEP_8__TEST_SUMMARY">#REF!</definedName>
    <definedName name="Продукт" localSheetId="0">'Продоскрин ИФА-Пенициллин'!$Z$3:$Z$6</definedName>
    <definedName name="Продукт">#REF!</definedName>
    <definedName name="Список">#REF!</definedName>
  </definedNames>
  <calcPr calcId="162913"/>
</workbook>
</file>

<file path=xl/calcChain.xml><?xml version="1.0" encoding="utf-8"?>
<calcChain xmlns="http://schemas.openxmlformats.org/spreadsheetml/2006/main">
  <c r="G14" i="1" l="1"/>
  <c r="G13" i="1"/>
  <c r="G11" i="1"/>
  <c r="H15" i="1"/>
  <c r="H14" i="1"/>
  <c r="H13" i="1"/>
  <c r="H12" i="1"/>
  <c r="H11" i="1"/>
  <c r="H10" i="1"/>
  <c r="F12" i="1"/>
  <c r="F11" i="1"/>
  <c r="F10" i="1"/>
  <c r="M30" i="1" l="1"/>
  <c r="H30" i="1" l="1"/>
  <c r="H32" i="1"/>
  <c r="J16" i="1"/>
  <c r="J11" i="1"/>
  <c r="F13" i="1"/>
  <c r="M12" i="1"/>
  <c r="M11" i="1"/>
  <c r="G10" i="1"/>
  <c r="G12" i="1"/>
  <c r="G16" i="1"/>
  <c r="F16" i="1"/>
  <c r="M16" i="1" s="1"/>
  <c r="F15" i="1"/>
  <c r="G15" i="1" s="1"/>
  <c r="F14" i="1"/>
  <c r="M14" i="1" s="1"/>
  <c r="F17" i="1"/>
  <c r="J12" i="1"/>
  <c r="J13" i="1"/>
  <c r="J14" i="1"/>
  <c r="J15" i="1"/>
  <c r="M15" i="1" l="1"/>
  <c r="M13" i="1"/>
  <c r="I18" i="1"/>
  <c r="J32" i="1" l="1"/>
  <c r="J33" i="1"/>
  <c r="J34" i="1"/>
  <c r="J35" i="1"/>
  <c r="J36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I11" i="1"/>
  <c r="I13" i="1"/>
  <c r="I12" i="1"/>
  <c r="H16" i="1"/>
  <c r="H34" i="1" l="1"/>
  <c r="H36" i="1"/>
  <c r="H38" i="1"/>
  <c r="H40" i="1"/>
  <c r="H42" i="1"/>
  <c r="H44" i="1"/>
  <c r="H46" i="1"/>
  <c r="H48" i="1"/>
  <c r="H50" i="1"/>
  <c r="H52" i="1"/>
  <c r="H54" i="1"/>
  <c r="H56" i="1"/>
  <c r="H58" i="1"/>
  <c r="H60" i="1"/>
  <c r="H62" i="1"/>
  <c r="H64" i="1"/>
  <c r="H66" i="1"/>
  <c r="H68" i="1"/>
  <c r="H70" i="1"/>
  <c r="H74" i="1"/>
  <c r="H76" i="1"/>
  <c r="H78" i="1"/>
  <c r="H80" i="1"/>
  <c r="H82" i="1"/>
  <c r="H84" i="1"/>
  <c r="H86" i="1"/>
  <c r="H88" i="1"/>
  <c r="H90" i="1"/>
  <c r="H92" i="1"/>
  <c r="H94" i="1"/>
  <c r="H96" i="1"/>
  <c r="H98" i="1"/>
  <c r="H100" i="1"/>
  <c r="H102" i="1"/>
  <c r="H104" i="1"/>
  <c r="H106" i="1"/>
  <c r="H108" i="1"/>
  <c r="H110" i="1"/>
  <c r="H112" i="1"/>
  <c r="H114" i="1"/>
  <c r="H116" i="1"/>
  <c r="H118" i="1"/>
  <c r="H120" i="1"/>
  <c r="H122" i="1"/>
  <c r="H124" i="1"/>
  <c r="H126" i="1"/>
  <c r="H128" i="1"/>
  <c r="H130" i="1"/>
  <c r="H132" i="1"/>
  <c r="H134" i="1"/>
  <c r="H136" i="1"/>
  <c r="H72" i="1"/>
  <c r="P31" i="1" l="1"/>
  <c r="I14" i="1" l="1"/>
  <c r="P137" i="1"/>
  <c r="P33" i="1"/>
  <c r="P35" i="1"/>
  <c r="P37" i="1"/>
  <c r="P39" i="1"/>
  <c r="P41" i="1"/>
  <c r="P43" i="1"/>
  <c r="P45" i="1"/>
  <c r="P47" i="1"/>
  <c r="P49" i="1"/>
  <c r="P51" i="1"/>
  <c r="P53" i="1"/>
  <c r="P55" i="1"/>
  <c r="P57" i="1"/>
  <c r="P59" i="1"/>
  <c r="P61" i="1"/>
  <c r="P63" i="1"/>
  <c r="P65" i="1"/>
  <c r="P67" i="1"/>
  <c r="P69" i="1"/>
  <c r="P71" i="1"/>
  <c r="P73" i="1"/>
  <c r="P75" i="1"/>
  <c r="P77" i="1"/>
  <c r="P79" i="1"/>
  <c r="P81" i="1"/>
  <c r="P83" i="1"/>
  <c r="P85" i="1"/>
  <c r="P87" i="1"/>
  <c r="P89" i="1"/>
  <c r="P91" i="1"/>
  <c r="P93" i="1"/>
  <c r="P95" i="1"/>
  <c r="P97" i="1"/>
  <c r="P99" i="1"/>
  <c r="P101" i="1"/>
  <c r="P103" i="1"/>
  <c r="P105" i="1"/>
  <c r="P107" i="1"/>
  <c r="P109" i="1"/>
  <c r="P111" i="1"/>
  <c r="P113" i="1"/>
  <c r="P115" i="1"/>
  <c r="P117" i="1"/>
  <c r="P119" i="1"/>
  <c r="P121" i="1"/>
  <c r="P123" i="1"/>
  <c r="P125" i="1"/>
  <c r="P127" i="1"/>
  <c r="P129" i="1"/>
  <c r="P131" i="1"/>
  <c r="P133" i="1"/>
  <c r="P135" i="1"/>
  <c r="J37" i="1" l="1"/>
  <c r="J39" i="1"/>
  <c r="J30" i="1"/>
  <c r="J38" i="1"/>
  <c r="J31" i="1"/>
  <c r="M17" i="1"/>
  <c r="I19" i="1" l="1"/>
  <c r="I28" i="1"/>
  <c r="I27" i="1"/>
  <c r="I26" i="1"/>
  <c r="I25" i="1"/>
  <c r="I24" i="1"/>
  <c r="I23" i="1"/>
  <c r="I22" i="1"/>
  <c r="I16" i="1"/>
  <c r="I15" i="1"/>
  <c r="I10" i="1"/>
  <c r="M134" i="1" l="1"/>
  <c r="M130" i="1"/>
  <c r="M126" i="1"/>
  <c r="M122" i="1"/>
  <c r="M120" i="1"/>
  <c r="M114" i="1"/>
  <c r="M110" i="1"/>
  <c r="M106" i="1"/>
  <c r="M102" i="1"/>
  <c r="M98" i="1"/>
  <c r="M94" i="1"/>
  <c r="M90" i="1"/>
  <c r="M86" i="1"/>
  <c r="M82" i="1"/>
  <c r="M78" i="1"/>
  <c r="M74" i="1"/>
  <c r="M70" i="1"/>
  <c r="M66" i="1"/>
  <c r="M62" i="1"/>
  <c r="M58" i="1"/>
  <c r="M54" i="1"/>
  <c r="M50" i="1"/>
  <c r="M46" i="1"/>
  <c r="M42" i="1"/>
  <c r="M137" i="1"/>
  <c r="O137" i="1" s="1"/>
  <c r="M133" i="1"/>
  <c r="O133" i="1" s="1"/>
  <c r="M129" i="1"/>
  <c r="O129" i="1" s="1"/>
  <c r="M125" i="1"/>
  <c r="O125" i="1" s="1"/>
  <c r="M121" i="1"/>
  <c r="O121" i="1" s="1"/>
  <c r="M117" i="1"/>
  <c r="O117" i="1" s="1"/>
  <c r="M113" i="1"/>
  <c r="O113" i="1" s="1"/>
  <c r="M109" i="1"/>
  <c r="O109" i="1" s="1"/>
  <c r="M103" i="1"/>
  <c r="O103" i="1" s="1"/>
  <c r="M95" i="1"/>
  <c r="O95" i="1" s="1"/>
  <c r="M91" i="1"/>
  <c r="O91" i="1" s="1"/>
  <c r="M87" i="1"/>
  <c r="O87" i="1" s="1"/>
  <c r="M83" i="1"/>
  <c r="O83" i="1" s="1"/>
  <c r="M79" i="1"/>
  <c r="O79" i="1" s="1"/>
  <c r="M75" i="1"/>
  <c r="O75" i="1" s="1"/>
  <c r="M71" i="1"/>
  <c r="O71" i="1" s="1"/>
  <c r="M67" i="1"/>
  <c r="O67" i="1" s="1"/>
  <c r="M63" i="1"/>
  <c r="O63" i="1" s="1"/>
  <c r="M59" i="1"/>
  <c r="O59" i="1" s="1"/>
  <c r="M55" i="1"/>
  <c r="O55" i="1" s="1"/>
  <c r="M51" i="1"/>
  <c r="O51" i="1" s="1"/>
  <c r="M47" i="1"/>
  <c r="O47" i="1" s="1"/>
  <c r="M43" i="1"/>
  <c r="O43" i="1" s="1"/>
  <c r="M105" i="1"/>
  <c r="O105" i="1" s="1"/>
  <c r="M97" i="1"/>
  <c r="O97" i="1" s="1"/>
  <c r="M136" i="1"/>
  <c r="M132" i="1"/>
  <c r="M128" i="1"/>
  <c r="M124" i="1"/>
  <c r="M118" i="1"/>
  <c r="M116" i="1"/>
  <c r="M112" i="1"/>
  <c r="M108" i="1"/>
  <c r="M104" i="1"/>
  <c r="M100" i="1"/>
  <c r="M96" i="1"/>
  <c r="M92" i="1"/>
  <c r="M88" i="1"/>
  <c r="M84" i="1"/>
  <c r="M80" i="1"/>
  <c r="M76" i="1"/>
  <c r="M72" i="1"/>
  <c r="M68" i="1"/>
  <c r="M64" i="1"/>
  <c r="M60" i="1"/>
  <c r="M56" i="1"/>
  <c r="M52" i="1"/>
  <c r="M48" i="1"/>
  <c r="M44" i="1"/>
  <c r="M40" i="1"/>
  <c r="M135" i="1"/>
  <c r="O135" i="1" s="1"/>
  <c r="M131" i="1"/>
  <c r="O131" i="1" s="1"/>
  <c r="M127" i="1"/>
  <c r="O127" i="1" s="1"/>
  <c r="M123" i="1"/>
  <c r="O123" i="1" s="1"/>
  <c r="M119" i="1"/>
  <c r="O119" i="1" s="1"/>
  <c r="M115" i="1"/>
  <c r="O115" i="1" s="1"/>
  <c r="M111" i="1"/>
  <c r="O111" i="1" s="1"/>
  <c r="M107" i="1"/>
  <c r="O107" i="1" s="1"/>
  <c r="M99" i="1"/>
  <c r="O99" i="1" s="1"/>
  <c r="M93" i="1"/>
  <c r="O93" i="1" s="1"/>
  <c r="M89" i="1"/>
  <c r="O89" i="1" s="1"/>
  <c r="M85" i="1"/>
  <c r="O85" i="1" s="1"/>
  <c r="M81" i="1"/>
  <c r="O81" i="1" s="1"/>
  <c r="M77" i="1"/>
  <c r="O77" i="1" s="1"/>
  <c r="M73" i="1"/>
  <c r="O73" i="1" s="1"/>
  <c r="M69" i="1"/>
  <c r="O69" i="1" s="1"/>
  <c r="M65" i="1"/>
  <c r="O65" i="1" s="1"/>
  <c r="M61" i="1"/>
  <c r="O61" i="1" s="1"/>
  <c r="M57" i="1"/>
  <c r="O57" i="1" s="1"/>
  <c r="M53" i="1"/>
  <c r="O53" i="1" s="1"/>
  <c r="M49" i="1"/>
  <c r="O49" i="1" s="1"/>
  <c r="M45" i="1"/>
  <c r="O45" i="1" s="1"/>
  <c r="M41" i="1"/>
  <c r="O41" i="1" s="1"/>
  <c r="M101" i="1"/>
  <c r="O101" i="1" s="1"/>
  <c r="K31" i="1"/>
  <c r="K33" i="1"/>
  <c r="K35" i="1"/>
  <c r="K37" i="1"/>
  <c r="K39" i="1"/>
  <c r="K42" i="1"/>
  <c r="K46" i="1"/>
  <c r="K50" i="1"/>
  <c r="K54" i="1"/>
  <c r="K58" i="1"/>
  <c r="K62" i="1"/>
  <c r="K66" i="1"/>
  <c r="K70" i="1"/>
  <c r="K74" i="1"/>
  <c r="K78" i="1"/>
  <c r="K82" i="1"/>
  <c r="K86" i="1"/>
  <c r="K90" i="1"/>
  <c r="K94" i="1"/>
  <c r="K111" i="1"/>
  <c r="K115" i="1"/>
  <c r="N115" i="1" s="1"/>
  <c r="K119" i="1"/>
  <c r="K123" i="1"/>
  <c r="N123" i="1" s="1"/>
  <c r="K127" i="1"/>
  <c r="K131" i="1"/>
  <c r="N131" i="1" s="1"/>
  <c r="K133" i="1"/>
  <c r="N133" i="1" s="1"/>
  <c r="K135" i="1"/>
  <c r="K137" i="1"/>
  <c r="M32" i="1"/>
  <c r="M34" i="1"/>
  <c r="M36" i="1"/>
  <c r="M38" i="1"/>
  <c r="K32" i="1"/>
  <c r="K34" i="1"/>
  <c r="K36" i="1"/>
  <c r="K38" i="1"/>
  <c r="K40" i="1"/>
  <c r="K48" i="1"/>
  <c r="K56" i="1"/>
  <c r="K64" i="1"/>
  <c r="K72" i="1"/>
  <c r="K80" i="1"/>
  <c r="K88" i="1"/>
  <c r="K109" i="1"/>
  <c r="N109" i="1" s="1"/>
  <c r="K117" i="1"/>
  <c r="N117" i="1" s="1"/>
  <c r="K125" i="1"/>
  <c r="N125" i="1" s="1"/>
  <c r="K132" i="1"/>
  <c r="K136" i="1"/>
  <c r="K44" i="1"/>
  <c r="K52" i="1"/>
  <c r="K60" i="1"/>
  <c r="K68" i="1"/>
  <c r="K76" i="1"/>
  <c r="K84" i="1"/>
  <c r="K92" i="1"/>
  <c r="K113" i="1"/>
  <c r="K121" i="1"/>
  <c r="K129" i="1"/>
  <c r="K134" i="1"/>
  <c r="K30" i="1"/>
  <c r="N30" i="1"/>
  <c r="K105" i="1"/>
  <c r="N105" i="1" s="1"/>
  <c r="K101" i="1"/>
  <c r="N101" i="1" s="1"/>
  <c r="K97" i="1"/>
  <c r="M39" i="1"/>
  <c r="M35" i="1"/>
  <c r="M31" i="1"/>
  <c r="O31" i="1" s="1"/>
  <c r="K106" i="1"/>
  <c r="K98" i="1"/>
  <c r="K130" i="1"/>
  <c r="K126" i="1"/>
  <c r="K122" i="1"/>
  <c r="K118" i="1"/>
  <c r="K114" i="1"/>
  <c r="K110" i="1"/>
  <c r="K104" i="1"/>
  <c r="K96" i="1"/>
  <c r="K91" i="1"/>
  <c r="K87" i="1"/>
  <c r="N87" i="1" s="1"/>
  <c r="K83" i="1"/>
  <c r="K79" i="1"/>
  <c r="N79" i="1" s="1"/>
  <c r="K75" i="1"/>
  <c r="K71" i="1"/>
  <c r="N71" i="1" s="1"/>
  <c r="K67" i="1"/>
  <c r="K63" i="1"/>
  <c r="N63" i="1" s="1"/>
  <c r="K59" i="1"/>
  <c r="K55" i="1"/>
  <c r="N55" i="1" s="1"/>
  <c r="K51" i="1"/>
  <c r="K47" i="1"/>
  <c r="N47" i="1" s="1"/>
  <c r="K43" i="1"/>
  <c r="K107" i="1"/>
  <c r="N107" i="1" s="1"/>
  <c r="K103" i="1"/>
  <c r="K99" i="1"/>
  <c r="K95" i="1"/>
  <c r="N95" i="1" s="1"/>
  <c r="M37" i="1"/>
  <c r="M33" i="1"/>
  <c r="K102" i="1"/>
  <c r="K128" i="1"/>
  <c r="K124" i="1"/>
  <c r="K120" i="1"/>
  <c r="K116" i="1"/>
  <c r="K112" i="1"/>
  <c r="K108" i="1"/>
  <c r="K100" i="1"/>
  <c r="K93" i="1"/>
  <c r="N93" i="1" s="1"/>
  <c r="K89" i="1"/>
  <c r="K85" i="1"/>
  <c r="N85" i="1" s="1"/>
  <c r="K81" i="1"/>
  <c r="K77" i="1"/>
  <c r="N77" i="1" s="1"/>
  <c r="K73" i="1"/>
  <c r="K69" i="1"/>
  <c r="N69" i="1" s="1"/>
  <c r="K65" i="1"/>
  <c r="K61" i="1"/>
  <c r="N61" i="1" s="1"/>
  <c r="K57" i="1"/>
  <c r="K53" i="1"/>
  <c r="N53" i="1" s="1"/>
  <c r="K49" i="1"/>
  <c r="K45" i="1"/>
  <c r="N45" i="1" s="1"/>
  <c r="K41" i="1"/>
  <c r="J27" i="1"/>
  <c r="M27" i="1" s="1"/>
  <c r="O27" i="1" s="1"/>
  <c r="T27" i="1" s="1"/>
  <c r="J24" i="1"/>
  <c r="M24" i="1" s="1"/>
  <c r="O24" i="1" s="1"/>
  <c r="T24" i="1" s="1"/>
  <c r="J26" i="1"/>
  <c r="M26" i="1" s="1"/>
  <c r="O26" i="1" s="1"/>
  <c r="T26" i="1" s="1"/>
  <c r="J28" i="1"/>
  <c r="M28" i="1" s="1"/>
  <c r="O28" i="1" s="1"/>
  <c r="T28" i="1" s="1"/>
  <c r="J22" i="1"/>
  <c r="J23" i="1"/>
  <c r="M23" i="1" s="1"/>
  <c r="O23" i="1" s="1"/>
  <c r="T23" i="1" s="1"/>
  <c r="J25" i="1"/>
  <c r="M25" i="1" s="1"/>
  <c r="O25" i="1" s="1"/>
  <c r="T25" i="1" s="1"/>
  <c r="N41" i="1" l="1"/>
  <c r="N49" i="1"/>
  <c r="N57" i="1"/>
  <c r="N65" i="1"/>
  <c r="N73" i="1"/>
  <c r="N81" i="1"/>
  <c r="N89" i="1"/>
  <c r="N103" i="1"/>
  <c r="N43" i="1"/>
  <c r="N51" i="1"/>
  <c r="N59" i="1"/>
  <c r="N67" i="1"/>
  <c r="N75" i="1"/>
  <c r="N83" i="1"/>
  <c r="N91" i="1"/>
  <c r="N97" i="1"/>
  <c r="N129" i="1"/>
  <c r="N113" i="1"/>
  <c r="N137" i="1"/>
  <c r="N127" i="1"/>
  <c r="N119" i="1"/>
  <c r="N111" i="1"/>
  <c r="N44" i="1"/>
  <c r="O44" i="1"/>
  <c r="R44" i="1" s="1"/>
  <c r="V44" i="1" s="1"/>
  <c r="N52" i="1"/>
  <c r="O52" i="1"/>
  <c r="N60" i="1"/>
  <c r="O60" i="1"/>
  <c r="N68" i="1"/>
  <c r="O68" i="1"/>
  <c r="R69" i="1" s="1"/>
  <c r="N76" i="1"/>
  <c r="O76" i="1"/>
  <c r="N84" i="1"/>
  <c r="O84" i="1"/>
  <c r="N92" i="1"/>
  <c r="O92" i="1"/>
  <c r="N100" i="1"/>
  <c r="O100" i="1"/>
  <c r="N108" i="1"/>
  <c r="O108" i="1"/>
  <c r="N116" i="1"/>
  <c r="O116" i="1"/>
  <c r="N124" i="1"/>
  <c r="O124" i="1"/>
  <c r="N132" i="1"/>
  <c r="O132" i="1"/>
  <c r="N46" i="1"/>
  <c r="O46" i="1"/>
  <c r="R47" i="1" s="1"/>
  <c r="N54" i="1"/>
  <c r="O54" i="1"/>
  <c r="N62" i="1"/>
  <c r="O62" i="1"/>
  <c r="N70" i="1"/>
  <c r="O70" i="1"/>
  <c r="R71" i="1" s="1"/>
  <c r="N78" i="1"/>
  <c r="O78" i="1"/>
  <c r="N86" i="1"/>
  <c r="O86" i="1"/>
  <c r="N94" i="1"/>
  <c r="O94" i="1"/>
  <c r="N102" i="1"/>
  <c r="O102" i="1"/>
  <c r="N110" i="1"/>
  <c r="O110" i="1"/>
  <c r="N120" i="1"/>
  <c r="O120" i="1"/>
  <c r="N126" i="1"/>
  <c r="O126" i="1"/>
  <c r="N134" i="1"/>
  <c r="O134" i="1"/>
  <c r="N99" i="1"/>
  <c r="N121" i="1"/>
  <c r="N135" i="1"/>
  <c r="N40" i="1"/>
  <c r="O40" i="1"/>
  <c r="R41" i="1" s="1"/>
  <c r="N48" i="1"/>
  <c r="O48" i="1"/>
  <c r="R48" i="1" s="1"/>
  <c r="V48" i="1" s="1"/>
  <c r="N56" i="1"/>
  <c r="O56" i="1"/>
  <c r="N64" i="1"/>
  <c r="O64" i="1"/>
  <c r="N72" i="1"/>
  <c r="O72" i="1"/>
  <c r="N80" i="1"/>
  <c r="O80" i="1"/>
  <c r="N88" i="1"/>
  <c r="O88" i="1"/>
  <c r="N96" i="1"/>
  <c r="O96" i="1"/>
  <c r="N104" i="1"/>
  <c r="O104" i="1"/>
  <c r="N112" i="1"/>
  <c r="O112" i="1"/>
  <c r="N118" i="1"/>
  <c r="O118" i="1"/>
  <c r="N128" i="1"/>
  <c r="O128" i="1"/>
  <c r="N136" i="1"/>
  <c r="O136" i="1"/>
  <c r="N42" i="1"/>
  <c r="O42" i="1"/>
  <c r="R43" i="1" s="1"/>
  <c r="N50" i="1"/>
  <c r="O50" i="1"/>
  <c r="N58" i="1"/>
  <c r="O58" i="1"/>
  <c r="N66" i="1"/>
  <c r="O66" i="1"/>
  <c r="R67" i="1" s="1"/>
  <c r="N74" i="1"/>
  <c r="O74" i="1"/>
  <c r="N82" i="1"/>
  <c r="O82" i="1"/>
  <c r="N90" i="1"/>
  <c r="O90" i="1"/>
  <c r="N98" i="1"/>
  <c r="O98" i="1"/>
  <c r="N106" i="1"/>
  <c r="O106" i="1"/>
  <c r="N114" i="1"/>
  <c r="O114" i="1"/>
  <c r="N122" i="1"/>
  <c r="O122" i="1"/>
  <c r="N130" i="1"/>
  <c r="O130" i="1"/>
  <c r="O33" i="1"/>
  <c r="N33" i="1"/>
  <c r="O35" i="1"/>
  <c r="N35" i="1"/>
  <c r="O38" i="1"/>
  <c r="N38" i="1"/>
  <c r="O34" i="1"/>
  <c r="R35" i="1" s="1"/>
  <c r="N34" i="1"/>
  <c r="O37" i="1"/>
  <c r="N37" i="1"/>
  <c r="O39" i="1"/>
  <c r="N39" i="1"/>
  <c r="O30" i="1"/>
  <c r="R31" i="1" s="1"/>
  <c r="O36" i="1"/>
  <c r="N36" i="1"/>
  <c r="O32" i="1"/>
  <c r="N32" i="1"/>
  <c r="R42" i="1"/>
  <c r="V42" i="1" s="1"/>
  <c r="R45" i="1"/>
  <c r="R46" i="1"/>
  <c r="R68" i="1"/>
  <c r="V68" i="1" s="1"/>
  <c r="R70" i="1"/>
  <c r="V70" i="1" s="1"/>
  <c r="N31" i="1"/>
  <c r="R66" i="1" l="1"/>
  <c r="V66" i="1" s="1"/>
  <c r="R49" i="1"/>
  <c r="R131" i="1"/>
  <c r="R130" i="1"/>
  <c r="V130" i="1" s="1"/>
  <c r="R123" i="1"/>
  <c r="R122" i="1"/>
  <c r="V122" i="1" s="1"/>
  <c r="R115" i="1"/>
  <c r="R114" i="1"/>
  <c r="V114" i="1" s="1"/>
  <c r="R107" i="1"/>
  <c r="R106" i="1"/>
  <c r="V106" i="1" s="1"/>
  <c r="R99" i="1"/>
  <c r="R98" i="1"/>
  <c r="V98" i="1" s="1"/>
  <c r="R91" i="1"/>
  <c r="R90" i="1"/>
  <c r="V90" i="1" s="1"/>
  <c r="R83" i="1"/>
  <c r="R82" i="1"/>
  <c r="V82" i="1" s="1"/>
  <c r="R75" i="1"/>
  <c r="R74" i="1"/>
  <c r="V74" i="1" s="1"/>
  <c r="R59" i="1"/>
  <c r="R58" i="1"/>
  <c r="V58" i="1" s="1"/>
  <c r="R51" i="1"/>
  <c r="R50" i="1"/>
  <c r="V50" i="1" s="1"/>
  <c r="R137" i="1"/>
  <c r="R136" i="1"/>
  <c r="V136" i="1" s="1"/>
  <c r="R129" i="1"/>
  <c r="R128" i="1"/>
  <c r="V128" i="1" s="1"/>
  <c r="R119" i="1"/>
  <c r="R118" i="1"/>
  <c r="V118" i="1" s="1"/>
  <c r="R113" i="1"/>
  <c r="R112" i="1"/>
  <c r="V112" i="1" s="1"/>
  <c r="R105" i="1"/>
  <c r="R104" i="1"/>
  <c r="V104" i="1" s="1"/>
  <c r="R97" i="1"/>
  <c r="R96" i="1"/>
  <c r="V96" i="1" s="1"/>
  <c r="R89" i="1"/>
  <c r="R88" i="1"/>
  <c r="V88" i="1" s="1"/>
  <c r="R81" i="1"/>
  <c r="R80" i="1"/>
  <c r="V80" i="1" s="1"/>
  <c r="R73" i="1"/>
  <c r="R72" i="1"/>
  <c r="V72" i="1" s="1"/>
  <c r="R65" i="1"/>
  <c r="R64" i="1"/>
  <c r="V64" i="1" s="1"/>
  <c r="R57" i="1"/>
  <c r="R56" i="1"/>
  <c r="V56" i="1" s="1"/>
  <c r="R40" i="1"/>
  <c r="V40" i="1" s="1"/>
  <c r="T40" i="1" s="1"/>
  <c r="R135" i="1"/>
  <c r="R134" i="1"/>
  <c r="V134" i="1" s="1"/>
  <c r="R127" i="1"/>
  <c r="R126" i="1"/>
  <c r="V126" i="1" s="1"/>
  <c r="R121" i="1"/>
  <c r="R120" i="1"/>
  <c r="V120" i="1" s="1"/>
  <c r="R111" i="1"/>
  <c r="R110" i="1"/>
  <c r="V110" i="1" s="1"/>
  <c r="R103" i="1"/>
  <c r="R102" i="1"/>
  <c r="V102" i="1" s="1"/>
  <c r="R95" i="1"/>
  <c r="R94" i="1"/>
  <c r="V94" i="1" s="1"/>
  <c r="R87" i="1"/>
  <c r="R86" i="1"/>
  <c r="V86" i="1" s="1"/>
  <c r="R79" i="1"/>
  <c r="R78" i="1"/>
  <c r="V78" i="1" s="1"/>
  <c r="R63" i="1"/>
  <c r="R62" i="1"/>
  <c r="V62" i="1" s="1"/>
  <c r="R55" i="1"/>
  <c r="R54" i="1"/>
  <c r="V54" i="1" s="1"/>
  <c r="R133" i="1"/>
  <c r="R132" i="1"/>
  <c r="V132" i="1" s="1"/>
  <c r="R125" i="1"/>
  <c r="R124" i="1"/>
  <c r="V124" i="1" s="1"/>
  <c r="R117" i="1"/>
  <c r="R116" i="1"/>
  <c r="V116" i="1" s="1"/>
  <c r="R109" i="1"/>
  <c r="R108" i="1"/>
  <c r="V108" i="1" s="1"/>
  <c r="R101" i="1"/>
  <c r="R100" i="1"/>
  <c r="V100" i="1" s="1"/>
  <c r="R93" i="1"/>
  <c r="R92" i="1"/>
  <c r="V92" i="1" s="1"/>
  <c r="R85" i="1"/>
  <c r="R84" i="1"/>
  <c r="V84" i="1" s="1"/>
  <c r="R77" i="1"/>
  <c r="R76" i="1"/>
  <c r="V76" i="1" s="1"/>
  <c r="R60" i="1"/>
  <c r="V60" i="1" s="1"/>
  <c r="R61" i="1"/>
  <c r="R53" i="1"/>
  <c r="R52" i="1"/>
  <c r="V52" i="1" s="1"/>
  <c r="T52" i="1" s="1"/>
  <c r="R36" i="1"/>
  <c r="V36" i="1" s="1"/>
  <c r="R37" i="1"/>
  <c r="T68" i="1"/>
  <c r="S69" i="1" s="1"/>
  <c r="T66" i="1"/>
  <c r="T44" i="1"/>
  <c r="S45" i="1" s="1"/>
  <c r="T48" i="1"/>
  <c r="R32" i="1"/>
  <c r="V32" i="1" s="1"/>
  <c r="T32" i="1" s="1"/>
  <c r="R39" i="1"/>
  <c r="R38" i="1"/>
  <c r="V38" i="1" s="1"/>
  <c r="T38" i="1" s="1"/>
  <c r="Q38" i="1" s="1"/>
  <c r="P30" i="1"/>
  <c r="R30" i="1"/>
  <c r="V30" i="1" s="1"/>
  <c r="T30" i="1" s="1"/>
  <c r="Q30" i="1" s="1"/>
  <c r="R33" i="1"/>
  <c r="R34" i="1"/>
  <c r="V34" i="1" s="1"/>
  <c r="T34" i="1" s="1"/>
  <c r="T70" i="1"/>
  <c r="T42" i="1"/>
  <c r="S49" i="1"/>
  <c r="V46" i="1"/>
  <c r="T46" i="1" s="1"/>
  <c r="S71" i="1"/>
  <c r="S70" i="1"/>
  <c r="S67" i="1"/>
  <c r="S66" i="1"/>
  <c r="S48" i="1"/>
  <c r="U48" i="1" s="1"/>
  <c r="S68" i="1"/>
  <c r="U68" i="1" s="1"/>
  <c r="P112" i="1"/>
  <c r="P120" i="1"/>
  <c r="P108" i="1"/>
  <c r="P32" i="1"/>
  <c r="P92" i="1"/>
  <c r="P84" i="1"/>
  <c r="P76" i="1"/>
  <c r="P68" i="1"/>
  <c r="P60" i="1"/>
  <c r="P52" i="1"/>
  <c r="P48" i="1"/>
  <c r="P126" i="1"/>
  <c r="P118" i="1"/>
  <c r="P130" i="1"/>
  <c r="P122" i="1"/>
  <c r="P114" i="1"/>
  <c r="P34" i="1"/>
  <c r="P94" i="1"/>
  <c r="P90" i="1"/>
  <c r="P86" i="1"/>
  <c r="P82" i="1"/>
  <c r="P78" i="1"/>
  <c r="P74" i="1"/>
  <c r="P70" i="1"/>
  <c r="P66" i="1"/>
  <c r="P62" i="1"/>
  <c r="P58" i="1"/>
  <c r="P54" i="1"/>
  <c r="P50" i="1"/>
  <c r="P40" i="1"/>
  <c r="P46" i="1"/>
  <c r="Q52" i="1" l="1"/>
  <c r="T36" i="1"/>
  <c r="S37" i="1" s="1"/>
  <c r="S39" i="1"/>
  <c r="T76" i="1"/>
  <c r="S76" i="1" s="1"/>
  <c r="S77" i="1"/>
  <c r="T84" i="1"/>
  <c r="Q84" i="1" s="1"/>
  <c r="S85" i="1"/>
  <c r="T92" i="1"/>
  <c r="S92" i="1" s="1"/>
  <c r="U92" i="1" s="1"/>
  <c r="S93" i="1"/>
  <c r="T100" i="1"/>
  <c r="S100" i="1" s="1"/>
  <c r="U100" i="1" s="1"/>
  <c r="T108" i="1"/>
  <c r="S109" i="1" s="1"/>
  <c r="S108" i="1"/>
  <c r="U108" i="1" s="1"/>
  <c r="T116" i="1"/>
  <c r="S117" i="1" s="1"/>
  <c r="T124" i="1"/>
  <c r="S125" i="1" s="1"/>
  <c r="T132" i="1"/>
  <c r="S133" i="1" s="1"/>
  <c r="S132" i="1"/>
  <c r="U132" i="1" s="1"/>
  <c r="T54" i="1"/>
  <c r="S55" i="1" s="1"/>
  <c r="S54" i="1"/>
  <c r="U54" i="1" s="1"/>
  <c r="T62" i="1"/>
  <c r="Q62" i="1" s="1"/>
  <c r="S62" i="1"/>
  <c r="U62" i="1" s="1"/>
  <c r="S63" i="1"/>
  <c r="T78" i="1"/>
  <c r="S79" i="1" s="1"/>
  <c r="S78" i="1"/>
  <c r="U78" i="1" s="1"/>
  <c r="T86" i="1"/>
  <c r="S86" i="1" s="1"/>
  <c r="T94" i="1"/>
  <c r="Q94" i="1" s="1"/>
  <c r="T102" i="1"/>
  <c r="S102" i="1" s="1"/>
  <c r="U102" i="1" s="1"/>
  <c r="T110" i="1"/>
  <c r="S110" i="1" s="1"/>
  <c r="U110" i="1" s="1"/>
  <c r="T120" i="1"/>
  <c r="S121" i="1" s="1"/>
  <c r="T126" i="1"/>
  <c r="S127" i="1" s="1"/>
  <c r="T134" i="1"/>
  <c r="S135" i="1" s="1"/>
  <c r="S44" i="1"/>
  <c r="U44" i="1" s="1"/>
  <c r="S53" i="1"/>
  <c r="S52" i="1"/>
  <c r="U52" i="1" s="1"/>
  <c r="T60" i="1"/>
  <c r="S60" i="1" s="1"/>
  <c r="U60" i="1" s="1"/>
  <c r="S61" i="1"/>
  <c r="T56" i="1"/>
  <c r="T64" i="1"/>
  <c r="S64" i="1" s="1"/>
  <c r="U64" i="1" s="1"/>
  <c r="T72" i="1"/>
  <c r="S73" i="1" s="1"/>
  <c r="S72" i="1"/>
  <c r="U72" i="1" s="1"/>
  <c r="T80" i="1"/>
  <c r="S81" i="1" s="1"/>
  <c r="S80" i="1"/>
  <c r="U80" i="1" s="1"/>
  <c r="T88" i="1"/>
  <c r="S88" i="1"/>
  <c r="U88" i="1" s="1"/>
  <c r="S89" i="1"/>
  <c r="T96" i="1"/>
  <c r="S97" i="1" s="1"/>
  <c r="T104" i="1"/>
  <c r="S105" i="1" s="1"/>
  <c r="T112" i="1"/>
  <c r="S113" i="1" s="1"/>
  <c r="S118" i="1"/>
  <c r="U118" i="1" s="1"/>
  <c r="T118" i="1"/>
  <c r="Q118" i="1" s="1"/>
  <c r="S119" i="1"/>
  <c r="T128" i="1"/>
  <c r="S129" i="1" s="1"/>
  <c r="S128" i="1"/>
  <c r="U128" i="1" s="1"/>
  <c r="T136" i="1"/>
  <c r="S136" i="1" s="1"/>
  <c r="S137" i="1"/>
  <c r="T50" i="1"/>
  <c r="Q50" i="1" s="1"/>
  <c r="S50" i="1"/>
  <c r="U50" i="1" s="1"/>
  <c r="S51" i="1"/>
  <c r="T58" i="1"/>
  <c r="S59" i="1" s="1"/>
  <c r="S58" i="1"/>
  <c r="U58" i="1" s="1"/>
  <c r="T74" i="1"/>
  <c r="Q74" i="1" s="1"/>
  <c r="T82" i="1"/>
  <c r="S82" i="1" s="1"/>
  <c r="T90" i="1"/>
  <c r="Q90" i="1" s="1"/>
  <c r="S91" i="1"/>
  <c r="S99" i="1"/>
  <c r="T98" i="1"/>
  <c r="S98" i="1"/>
  <c r="U98" i="1" s="1"/>
  <c r="T106" i="1"/>
  <c r="S106" i="1" s="1"/>
  <c r="T114" i="1"/>
  <c r="Q114" i="1" s="1"/>
  <c r="T122" i="1"/>
  <c r="S123" i="1" s="1"/>
  <c r="T130" i="1"/>
  <c r="Q130" i="1" s="1"/>
  <c r="S36" i="1"/>
  <c r="U36" i="1" s="1"/>
  <c r="Q66" i="1"/>
  <c r="Q48" i="1"/>
  <c r="S47" i="1"/>
  <c r="Q34" i="1"/>
  <c r="Q68" i="1"/>
  <c r="Q32" i="1"/>
  <c r="S34" i="1"/>
  <c r="U34" i="1" s="1"/>
  <c r="S35" i="1"/>
  <c r="U66" i="1"/>
  <c r="U70" i="1"/>
  <c r="S40" i="1"/>
  <c r="U40" i="1" s="1"/>
  <c r="S41" i="1"/>
  <c r="S42" i="1"/>
  <c r="S43" i="1"/>
  <c r="Q46" i="1"/>
  <c r="Q40" i="1"/>
  <c r="Q70" i="1"/>
  <c r="S46" i="1"/>
  <c r="S32" i="1"/>
  <c r="U32" i="1" s="1"/>
  <c r="S33" i="1"/>
  <c r="S31" i="1"/>
  <c r="S30" i="1"/>
  <c r="U30" i="1" s="1"/>
  <c r="S38" i="1"/>
  <c r="U38" i="1" s="1"/>
  <c r="P36" i="1"/>
  <c r="Q36" i="1" s="1"/>
  <c r="P38" i="1"/>
  <c r="P42" i="1"/>
  <c r="Q42" i="1" s="1"/>
  <c r="P100" i="1"/>
  <c r="Q100" i="1" s="1"/>
  <c r="P72" i="1"/>
  <c r="P110" i="1"/>
  <c r="P132" i="1"/>
  <c r="P104" i="1"/>
  <c r="P102" i="1"/>
  <c r="P128" i="1"/>
  <c r="P56" i="1"/>
  <c r="P88" i="1"/>
  <c r="Q88" i="1" s="1"/>
  <c r="P106" i="1"/>
  <c r="P64" i="1"/>
  <c r="P80" i="1"/>
  <c r="P136" i="1"/>
  <c r="P96" i="1"/>
  <c r="P124" i="1"/>
  <c r="Q124" i="1" s="1"/>
  <c r="P98" i="1"/>
  <c r="P116" i="1"/>
  <c r="P134" i="1"/>
  <c r="P44" i="1"/>
  <c r="Q44" i="1" s="1"/>
  <c r="Q92" i="1" l="1"/>
  <c r="Q56" i="1"/>
  <c r="Q132" i="1"/>
  <c r="Q72" i="1"/>
  <c r="Q116" i="1"/>
  <c r="Q136" i="1"/>
  <c r="Q64" i="1"/>
  <c r="Q128" i="1"/>
  <c r="Q110" i="1"/>
  <c r="Q108" i="1"/>
  <c r="Q104" i="1"/>
  <c r="S131" i="1"/>
  <c r="S130" i="1"/>
  <c r="U130" i="1" s="1"/>
  <c r="S122" i="1"/>
  <c r="U122" i="1" s="1"/>
  <c r="S107" i="1"/>
  <c r="S74" i="1"/>
  <c r="U74" i="1" s="1"/>
  <c r="U136" i="1"/>
  <c r="S112" i="1"/>
  <c r="U112" i="1" s="1"/>
  <c r="S104" i="1"/>
  <c r="U104" i="1" s="1"/>
  <c r="S96" i="1"/>
  <c r="U96" i="1" s="1"/>
  <c r="S65" i="1"/>
  <c r="Q112" i="1"/>
  <c r="S134" i="1"/>
  <c r="U134" i="1" s="1"/>
  <c r="S94" i="1"/>
  <c r="U94" i="1" s="1"/>
  <c r="S95" i="1"/>
  <c r="S124" i="1"/>
  <c r="U124" i="1" s="1"/>
  <c r="S116" i="1"/>
  <c r="U116" i="1" s="1"/>
  <c r="S101" i="1"/>
  <c r="U76" i="1"/>
  <c r="Q122" i="1"/>
  <c r="S84" i="1"/>
  <c r="U84" i="1" s="1"/>
  <c r="U106" i="1"/>
  <c r="Q60" i="1"/>
  <c r="Q82" i="1"/>
  <c r="Q58" i="1"/>
  <c r="Q78" i="1"/>
  <c r="Q54" i="1"/>
  <c r="Q134" i="1"/>
  <c r="Q98" i="1"/>
  <c r="Q96" i="1"/>
  <c r="Q80" i="1"/>
  <c r="Q106" i="1"/>
  <c r="Q102" i="1"/>
  <c r="U46" i="1"/>
  <c r="S115" i="1"/>
  <c r="S114" i="1"/>
  <c r="U114" i="1" s="1"/>
  <c r="S90" i="1"/>
  <c r="U90" i="1" s="1"/>
  <c r="S83" i="1"/>
  <c r="U82" i="1" s="1"/>
  <c r="S75" i="1"/>
  <c r="S57" i="1"/>
  <c r="S56" i="1"/>
  <c r="Q76" i="1"/>
  <c r="S126" i="1"/>
  <c r="U126" i="1" s="1"/>
  <c r="S120" i="1"/>
  <c r="U120" i="1" s="1"/>
  <c r="S111" i="1"/>
  <c r="S103" i="1"/>
  <c r="S87" i="1"/>
  <c r="U86" i="1" s="1"/>
  <c r="Q120" i="1"/>
  <c r="Q126" i="1"/>
  <c r="Q86" i="1"/>
  <c r="U42" i="1"/>
  <c r="U56" i="1" l="1"/>
</calcChain>
</file>

<file path=xl/sharedStrings.xml><?xml version="1.0" encoding="utf-8"?>
<sst xmlns="http://schemas.openxmlformats.org/spreadsheetml/2006/main" count="81" uniqueCount="54">
  <si>
    <r>
      <rPr>
        <b/>
        <sz val="11"/>
        <color indexed="8"/>
        <rFont val="Arial"/>
        <family val="2"/>
        <charset val="204"/>
      </rPr>
      <t>Техническая поддержка: 
+375 (17) 336-50-54
+7 (499) 704-05-50
support@komprod.com</t>
    </r>
    <r>
      <rPr>
        <sz val="11"/>
        <color indexed="8"/>
        <rFont val="Arial"/>
        <family val="2"/>
        <charset val="204"/>
      </rPr>
      <t xml:space="preserve">
</t>
    </r>
  </si>
  <si>
    <t>Исполнитель</t>
  </si>
  <si>
    <t>Дата:</t>
  </si>
  <si>
    <t>№ партии</t>
  </si>
  <si>
    <t>молоко сгущенное</t>
  </si>
  <si>
    <t xml:space="preserve">Раздел I: Градуировочный график  </t>
  </si>
  <si>
    <t>Градуировочный раствор</t>
  </si>
  <si>
    <t>К.В.</t>
  </si>
  <si>
    <t>R =</t>
  </si>
  <si>
    <t>№</t>
  </si>
  <si>
    <t>Наименование образца</t>
  </si>
  <si>
    <t>молоко, сухое молоко, детское питание</t>
  </si>
  <si>
    <t>мясо, рыба, субпродукты</t>
  </si>
  <si>
    <t>Фактор разбавления</t>
  </si>
  <si>
    <t>Относительная расширенная неопределенность</t>
  </si>
  <si>
    <t>Предел повторяемости</t>
  </si>
  <si>
    <t>Фоновый сигнал</t>
  </si>
  <si>
    <t>нг/мл</t>
  </si>
  <si>
    <t>молочная сыворотка</t>
  </si>
  <si>
    <t>молочная сыворотка, творог, сыр, масло, сливки, кисломолочные продукты, мороженное</t>
  </si>
  <si>
    <t>Оптическая плотность 
B</t>
  </si>
  <si>
    <t>Фактор разбавления пробы 
F</t>
  </si>
  <si>
    <t>Проверка приемле-мости результатов измерений, получен-ных в условиях повторяемости</t>
  </si>
  <si>
    <r>
      <t>С</t>
    </r>
    <r>
      <rPr>
        <vertAlign val="subscript"/>
        <sz val="12"/>
        <rFont val="Arial"/>
        <family val="2"/>
        <charset val="204"/>
      </rPr>
      <t>0</t>
    </r>
  </si>
  <si>
    <r>
      <t>С</t>
    </r>
    <r>
      <rPr>
        <vertAlign val="subscript"/>
        <sz val="12"/>
        <rFont val="Arial"/>
        <family val="2"/>
        <charset val="204"/>
      </rPr>
      <t>1</t>
    </r>
  </si>
  <si>
    <r>
      <t>С</t>
    </r>
    <r>
      <rPr>
        <vertAlign val="subscript"/>
        <sz val="12"/>
        <rFont val="Arial"/>
        <family val="2"/>
        <charset val="204"/>
      </rPr>
      <t>2</t>
    </r>
    <r>
      <rPr>
        <sz val="11"/>
        <color indexed="8"/>
        <rFont val="Calibri"/>
        <family val="2"/>
        <charset val="204"/>
      </rPr>
      <t/>
    </r>
  </si>
  <si>
    <r>
      <t>С</t>
    </r>
    <r>
      <rPr>
        <vertAlign val="subscript"/>
        <sz val="12"/>
        <rFont val="Arial"/>
        <family val="2"/>
        <charset val="204"/>
      </rPr>
      <t>3</t>
    </r>
    <r>
      <rPr>
        <sz val="11"/>
        <color indexed="8"/>
        <rFont val="Calibri"/>
        <family val="2"/>
        <charset val="204"/>
      </rPr>
      <t/>
    </r>
  </si>
  <si>
    <r>
      <t>С</t>
    </r>
    <r>
      <rPr>
        <vertAlign val="subscript"/>
        <sz val="12"/>
        <rFont val="Arial"/>
        <family val="2"/>
        <charset val="204"/>
      </rPr>
      <t>4</t>
    </r>
  </si>
  <si>
    <r>
      <t>С</t>
    </r>
    <r>
      <rPr>
        <vertAlign val="subscript"/>
        <sz val="12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</si>
  <si>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r>
      <t>С</t>
    </r>
    <r>
      <rPr>
        <vertAlign val="subscript"/>
        <sz val="12"/>
        <rFont val="Arial"/>
        <family val="2"/>
        <charset val="204"/>
      </rPr>
      <t>6</t>
    </r>
    <r>
      <rPr>
        <sz val="11"/>
        <color indexed="8"/>
        <rFont val="Calibri"/>
        <family val="2"/>
        <charset val="204"/>
      </rPr>
      <t/>
    </r>
  </si>
  <si>
    <r>
      <t>Оптическая плотность B</t>
    </r>
    <r>
      <rPr>
        <vertAlign val="subscript"/>
        <sz val="12"/>
        <rFont val="Arial"/>
        <family val="2"/>
        <charset val="204"/>
      </rPr>
      <t>i</t>
    </r>
  </si>
  <si>
    <r>
      <t>lgC</t>
    </r>
    <r>
      <rPr>
        <vertAlign val="subscript"/>
        <sz val="12"/>
        <rFont val="Arial"/>
        <family val="2"/>
        <charset val="204"/>
      </rPr>
      <t>i</t>
    </r>
  </si>
  <si>
    <r>
      <t>Интерсепт 50% (IC</t>
    </r>
    <r>
      <rPr>
        <vertAlign val="subscript"/>
        <sz val="12"/>
        <rFont val="Arial"/>
        <family val="2"/>
        <charset val="204"/>
      </rPr>
      <t>50</t>
    </r>
    <r>
      <rPr>
        <sz val="12"/>
        <rFont val="Arial"/>
        <family val="2"/>
        <charset val="204"/>
      </rPr>
      <t>)=</t>
    </r>
  </si>
  <si>
    <t>Градуировочный раствор ампициллина</t>
  </si>
  <si>
    <t>Вид продукции</t>
  </si>
  <si>
    <r>
      <t xml:space="preserve">4. В </t>
    </r>
    <r>
      <rPr>
        <b/>
        <sz val="14"/>
        <color theme="9" tint="-0.249977111117893"/>
        <rFont val="Calibri"/>
        <family val="2"/>
        <charset val="204"/>
        <scheme val="minor"/>
      </rPr>
      <t>выделенные цветом</t>
    </r>
    <r>
      <rPr>
        <sz val="14"/>
        <color theme="1"/>
        <rFont val="Calibri"/>
        <family val="2"/>
        <charset val="204"/>
        <scheme val="minor"/>
      </rPr>
      <t xml:space="preserve"> ячейки раздела II внести наименование анализируемого образца и полученные для него значения оптической плотности, из выпадающего списка выбрать соответсвтвующий образцу вид продукции.   </t>
    </r>
  </si>
  <si>
    <t xml:space="preserve">Раздел II: Расчет массовой доли антибиотиков группы пенициллины </t>
  </si>
  <si>
    <t>Инструкция по работе с шаблоном, предназначенным для обработки результатов ИФА</t>
  </si>
  <si>
    <t>Массовая доля пенициллинов в пробе 
X, мкг/кг</t>
  </si>
  <si>
    <r>
      <rPr>
        <b/>
        <sz val="14"/>
        <color theme="1"/>
        <rFont val="Calibri"/>
        <family val="2"/>
        <charset val="204"/>
        <scheme val="minor"/>
      </rPr>
      <t>Внимание!</t>
    </r>
    <r>
      <rPr>
        <sz val="14"/>
        <color theme="1"/>
        <rFont val="Calibri"/>
        <family val="2"/>
        <charset val="204"/>
        <scheme val="minor"/>
      </rPr>
      <t xml:space="preserve"> Данные вносятся только в ячейки, </t>
    </r>
    <r>
      <rPr>
        <b/>
        <sz val="14"/>
        <color theme="9" tint="-0.249977111117893"/>
        <rFont val="Calibri"/>
        <family val="2"/>
        <charset val="204"/>
        <scheme val="minor"/>
      </rPr>
      <t>выделенные цветом</t>
    </r>
    <r>
      <rPr>
        <sz val="14"/>
        <color theme="1"/>
        <rFont val="Calibri"/>
        <family val="2"/>
        <charset val="204"/>
        <scheme val="minor"/>
      </rPr>
      <t>.</t>
    </r>
  </si>
  <si>
    <r>
      <t>1. В</t>
    </r>
    <r>
      <rPr>
        <b/>
        <sz val="14"/>
        <color theme="9" tint="-0.249977111117893"/>
        <rFont val="Calibri"/>
        <family val="2"/>
        <charset val="204"/>
        <scheme val="minor"/>
      </rPr>
      <t xml:space="preserve"> выделенные цветом</t>
    </r>
    <r>
      <rPr>
        <sz val="14"/>
        <color theme="1"/>
        <rFont val="Calibri"/>
        <family val="2"/>
        <charset val="204"/>
        <scheme val="minor"/>
      </rPr>
      <t xml:space="preserve"> ячейки внести информацию об исполнителе, указать дату проведения анализа и номер партии использованного набора реагентов</t>
    </r>
  </si>
  <si>
    <r>
      <t>2. В</t>
    </r>
    <r>
      <rPr>
        <b/>
        <sz val="14"/>
        <color theme="9" tint="-0.249977111117893"/>
        <rFont val="Calibri"/>
        <family val="2"/>
        <charset val="204"/>
        <scheme val="minor"/>
      </rPr>
      <t xml:space="preserve"> выделенные цветом </t>
    </r>
    <r>
      <rPr>
        <sz val="14"/>
        <color theme="1"/>
        <rFont val="Calibri"/>
        <family val="2"/>
        <charset val="204"/>
        <scheme val="minor"/>
      </rPr>
      <t xml:space="preserve">ячейки раздела I внести значения оптической плотности, полученные в лунках с градуировочными растворами, и фоновый сигнал. </t>
    </r>
  </si>
  <si>
    <r>
      <t xml:space="preserve">3. По окончанию заполенения раздела I </t>
    </r>
    <r>
      <rPr>
        <b/>
        <sz val="14"/>
        <color theme="1"/>
        <rFont val="Calibri"/>
        <family val="2"/>
        <charset val="204"/>
        <scheme val="minor"/>
      </rPr>
      <t>автоматически</t>
    </r>
    <r>
      <rPr>
        <sz val="14"/>
        <color theme="1"/>
        <rFont val="Calibri"/>
        <family val="2"/>
        <charset val="204"/>
        <scheme val="minor"/>
      </rPr>
      <t xml:space="preserve"> будет построен градуировочный график и рассчитаны его параметры </t>
    </r>
  </si>
  <si>
    <r>
      <t xml:space="preserve">5. После заполнения выделенных цветом ячеек </t>
    </r>
    <r>
      <rPr>
        <b/>
        <sz val="14"/>
        <color theme="1"/>
        <rFont val="Calibri"/>
        <family val="2"/>
        <charset val="204"/>
        <scheme val="minor"/>
      </rPr>
      <t>автоматически</t>
    </r>
    <r>
      <rPr>
        <sz val="14"/>
        <color theme="1"/>
        <rFont val="Calibri"/>
        <family val="2"/>
        <charset val="204"/>
        <scheme val="minor"/>
      </rPr>
      <t xml:space="preserve"> устанавливается фактор разведения образца, по градуировочному графику рассчитывется массовая доля антибиотиков группы пенициллинов в образце. 
Оценка приемлемости в условиях повторяемости и указание результата измерения с использованием расширенной неопределнности </t>
    </r>
    <r>
      <rPr>
        <i/>
        <sz val="14"/>
        <color theme="1"/>
        <rFont val="Calibri"/>
        <family val="2"/>
        <charset val="204"/>
        <scheme val="minor"/>
      </rPr>
      <t>U(X)</t>
    </r>
    <r>
      <rPr>
        <sz val="14"/>
        <color theme="1"/>
        <rFont val="Calibri"/>
        <family val="2"/>
        <charset val="204"/>
        <scheme val="minor"/>
      </rPr>
      <t xml:space="preserve"> проводится в соответсвии с МВИ.МН 5336-2015 (изменение 1).</t>
    </r>
  </si>
  <si>
    <t>Соответствие результата диапазону измерений</t>
  </si>
  <si>
    <t>Далее приведен порядок действий при работе с шаблоном</t>
  </si>
  <si>
    <r>
      <t>Скорректированная оптическая плотность B' 
(B-B</t>
    </r>
    <r>
      <rPr>
        <vertAlign val="subscript"/>
        <sz val="12"/>
        <rFont val="Arial"/>
        <family val="2"/>
        <charset val="204"/>
      </rPr>
      <t>фон</t>
    </r>
    <r>
      <rPr>
        <sz val="12"/>
        <rFont val="Arial"/>
        <family val="2"/>
        <charset val="204"/>
      </rPr>
      <t>)</t>
    </r>
  </si>
  <si>
    <r>
      <t>B'/B</t>
    </r>
    <r>
      <rPr>
        <vertAlign val="subscript"/>
        <sz val="12"/>
        <rFont val="Arial"/>
        <family val="2"/>
        <charset val="204"/>
      </rPr>
      <t>0</t>
    </r>
    <r>
      <rPr>
        <sz val="12"/>
        <rFont val="Arial"/>
        <family val="2"/>
        <charset val="204"/>
      </rPr>
      <t>'</t>
    </r>
  </si>
  <si>
    <r>
      <t>lg[B'/(B</t>
    </r>
    <r>
      <rPr>
        <vertAlign val="subscript"/>
        <sz val="12"/>
        <rFont val="Arial"/>
        <family val="2"/>
        <charset val="204"/>
      </rPr>
      <t>0</t>
    </r>
    <r>
      <rPr>
        <sz val="12"/>
        <rFont val="Arial"/>
        <family val="2"/>
        <charset val="204"/>
      </rPr>
      <t>-B)]</t>
    </r>
  </si>
  <si>
    <r>
      <t xml:space="preserve">        _                              
       (X </t>
    </r>
    <r>
      <rPr>
        <sz val="12"/>
        <rFont val="Calibri"/>
        <family val="2"/>
        <charset val="204"/>
      </rPr>
      <t xml:space="preserve">± U(X)),
            </t>
    </r>
    <r>
      <rPr>
        <sz val="12"/>
        <rFont val="Arial"/>
        <family val="2"/>
        <charset val="204"/>
      </rPr>
      <t>мкг/кг</t>
    </r>
  </si>
  <si>
    <r>
      <t>B</t>
    </r>
    <r>
      <rPr>
        <vertAlign val="subscript"/>
        <sz val="12"/>
        <rFont val="Arial"/>
        <family val="2"/>
        <charset val="204"/>
      </rPr>
      <t>i</t>
    </r>
    <r>
      <rPr>
        <sz val="12"/>
        <rFont val="Arial"/>
        <family val="2"/>
        <charset val="204"/>
      </rPr>
      <t>'/B</t>
    </r>
    <r>
      <rPr>
        <vertAlign val="subscript"/>
        <sz val="12"/>
        <rFont val="Arial"/>
        <family val="2"/>
        <charset val="204"/>
      </rPr>
      <t>0</t>
    </r>
    <r>
      <rPr>
        <sz val="12"/>
        <rFont val="Arial"/>
        <family val="2"/>
        <charset val="204"/>
      </rPr>
      <t>'</t>
    </r>
  </si>
  <si>
    <t xml:space="preserve">Техническая поддержка: 
+375 (17) 336-50-54
+7 (499) 444-05-50
support@komprod.com
</t>
  </si>
  <si>
    <r>
      <rPr>
        <b/>
        <sz val="13"/>
        <rFont val="Arial"/>
        <family val="2"/>
        <charset val="204"/>
      </rPr>
      <t>Файл обсчета для обработки результатов измерений при определениии группы пенициллинов в продуктах питания с использованием тест-системы ПРОДОСКРИН</t>
    </r>
    <r>
      <rPr>
        <b/>
        <sz val="13"/>
        <rFont val="Calibri"/>
        <family val="2"/>
        <charset val="204"/>
      </rPr>
      <t>®</t>
    </r>
    <r>
      <rPr>
        <b/>
        <sz val="13"/>
        <rFont val="Arial"/>
        <family val="2"/>
        <charset val="204"/>
      </rPr>
      <t xml:space="preserve"> ИФА-Пенициллин</t>
    </r>
    <r>
      <rPr>
        <sz val="13"/>
        <rFont val="Arial"/>
        <family val="2"/>
        <charset val="204"/>
      </rPr>
      <t xml:space="preserve">
</t>
    </r>
    <r>
      <rPr>
        <i/>
        <sz val="13"/>
        <rFont val="Arial"/>
        <family val="2"/>
        <charset val="204"/>
      </rPr>
      <t xml:space="preserve">в соответствии с МВИ.МН 5336-2015 (Извещение об изменении №1) </t>
    </r>
    <r>
      <rPr>
        <sz val="13"/>
        <rFont val="Arial"/>
        <family val="2"/>
        <charset val="204"/>
      </rPr>
      <t xml:space="preserve">                                                                                                                                </t>
    </r>
    <r>
      <rPr>
        <b/>
        <sz val="13"/>
        <rFont val="Arial"/>
        <family val="2"/>
        <charset val="204"/>
      </rPr>
      <t>версия 2.2</t>
    </r>
  </si>
  <si>
    <r>
      <t>B</t>
    </r>
    <r>
      <rPr>
        <vertAlign val="subscript"/>
        <sz val="12"/>
        <rFont val="Arial"/>
        <family val="2"/>
        <charset val="204"/>
      </rPr>
      <t>i</t>
    </r>
    <r>
      <rPr>
        <sz val="12"/>
        <rFont val="Arial"/>
        <family val="2"/>
        <charset val="204"/>
      </rPr>
      <t>/B</t>
    </r>
    <r>
      <rPr>
        <vertAlign val="subscript"/>
        <sz val="12"/>
        <rFont val="Arial"/>
        <family val="2"/>
        <charset val="204"/>
      </rPr>
      <t>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</si>
</sst>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%"/>
    <numFmt numFmtId="166" formatCode="0.0000"/>
    <numFmt numFmtId="167" formatCode="0.0"/>
  </numFmts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9" tint="-0.249977111117893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2"/>
      <name val="Arial"/>
      <family val="2"/>
      <charset val="204"/>
    </font>
    <font>
      <vertAlign val="subscript"/>
      <sz val="12"/>
      <name val="Arial"/>
      <family val="2"/>
      <charset val="204"/>
    </font>
    <font>
      <sz val="12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indexed="8"/>
      <name val="Arial"/>
      <family val="2"/>
      <charset val="204"/>
    </font>
    <font>
      <sz val="13"/>
      <name val="Arial"/>
      <family val="2"/>
      <charset val="204"/>
    </font>
    <font>
      <sz val="13"/>
      <color theme="1"/>
      <name val="Arial"/>
      <family val="2"/>
      <charset val="204"/>
    </font>
    <font>
      <b/>
      <sz val="13"/>
      <name val="Arial"/>
      <family val="2"/>
      <charset val="204"/>
    </font>
    <font>
      <b/>
      <sz val="13"/>
      <name val="Calibri"/>
      <family val="2"/>
      <charset val="204"/>
    </font>
    <font>
      <i/>
      <sz val="13"/>
      <name val="Arial"/>
      <family val="2"/>
      <charset val="204"/>
    </font>
    <font>
      <sz val="12"/>
      <color theme="1"/>
      <name val="Calibri"/>
      <family val="2"/>
      <charset val="204"/>
    </font>
    <font>
      <sz val="12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27" fillId="0" borderId="0"/>
  </cellStyleXfs>
  <cellXfs count="172">
    <xf numFmtId="0" fontId="0" fillId="0" borderId="0" xfId="0"/>
    <xf numFmtId="0" fontId="0" fillId="0" borderId="0" xfId="0" applyBorder="1"/>
    <xf numFmtId="0" fontId="2" fillId="0" borderId="0" xfId="0" applyFont="1" applyProtection="1">
      <protection locked="0"/>
    </xf>
    <xf numFmtId="0" fontId="2" fillId="2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Border="1" applyProtection="1">
      <protection locked="0"/>
    </xf>
    <xf numFmtId="0" fontId="2" fillId="2" borderId="0" xfId="0" applyFont="1" applyFill="1" applyBorder="1" applyProtection="1">
      <protection locked="0"/>
    </xf>
    <xf numFmtId="2" fontId="2" fillId="0" borderId="9" xfId="0" applyNumberFormat="1" applyFont="1" applyBorder="1" applyAlignment="1" applyProtection="1">
      <alignment horizontal="center" vertical="center"/>
      <protection hidden="1"/>
    </xf>
    <xf numFmtId="2" fontId="2" fillId="0" borderId="20" xfId="0" applyNumberFormat="1" applyFont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49" fontId="2" fillId="2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protection locked="0"/>
    </xf>
    <xf numFmtId="0" fontId="15" fillId="2" borderId="0" xfId="0" applyFont="1" applyFill="1" applyBorder="1" applyProtection="1"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9" fillId="2" borderId="0" xfId="0" applyFont="1" applyFill="1" applyProtection="1">
      <protection locked="0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vertical="center"/>
      <protection locked="0"/>
    </xf>
    <xf numFmtId="164" fontId="15" fillId="2" borderId="11" xfId="0" applyNumberFormat="1" applyFont="1" applyFill="1" applyBorder="1" applyAlignment="1" applyProtection="1">
      <alignment horizontal="right" vertical="center"/>
      <protection locked="0"/>
    </xf>
    <xf numFmtId="164" fontId="15" fillId="2" borderId="11" xfId="0" applyNumberFormat="1" applyFont="1" applyFill="1" applyBorder="1" applyAlignment="1" applyProtection="1">
      <alignment horizontal="left" vertical="center"/>
      <protection locked="0"/>
    </xf>
    <xf numFmtId="164" fontId="19" fillId="3" borderId="25" xfId="0" applyNumberFormat="1" applyFont="1" applyFill="1" applyBorder="1" applyAlignment="1" applyProtection="1">
      <alignment horizontal="center" vertical="center"/>
      <protection locked="0" hidden="1"/>
    </xf>
    <xf numFmtId="164" fontId="19" fillId="3" borderId="8" xfId="0" applyNumberFormat="1" applyFont="1" applyFill="1" applyBorder="1" applyAlignment="1" applyProtection="1">
      <alignment horizontal="center" vertical="center"/>
      <protection locked="0" hidden="1"/>
    </xf>
    <xf numFmtId="165" fontId="19" fillId="2" borderId="5" xfId="0" applyNumberFormat="1" applyFont="1" applyFill="1" applyBorder="1" applyAlignment="1" applyProtection="1">
      <alignment horizontal="center" vertical="center"/>
      <protection hidden="1"/>
    </xf>
    <xf numFmtId="10" fontId="19" fillId="2" borderId="5" xfId="0" applyNumberFormat="1" applyFont="1" applyFill="1" applyBorder="1" applyAlignment="1" applyProtection="1">
      <alignment horizontal="center" vertical="center"/>
      <protection hidden="1"/>
    </xf>
    <xf numFmtId="2" fontId="19" fillId="2" borderId="5" xfId="0" applyNumberFormat="1" applyFont="1" applyFill="1" applyBorder="1" applyAlignment="1" applyProtection="1">
      <alignment horizontal="center" vertical="center"/>
      <protection hidden="1"/>
    </xf>
    <xf numFmtId="0" fontId="15" fillId="2" borderId="6" xfId="0" applyFont="1" applyFill="1" applyBorder="1" applyAlignment="1" applyProtection="1">
      <alignment vertical="center"/>
      <protection locked="0"/>
    </xf>
    <xf numFmtId="164" fontId="15" fillId="2" borderId="7" xfId="0" applyNumberFormat="1" applyFont="1" applyFill="1" applyBorder="1" applyAlignment="1" applyProtection="1">
      <alignment horizontal="right" vertical="center"/>
      <protection locked="0"/>
    </xf>
    <xf numFmtId="0" fontId="15" fillId="2" borderId="13" xfId="0" applyFont="1" applyFill="1" applyBorder="1" applyAlignment="1" applyProtection="1">
      <alignment vertical="center"/>
      <protection locked="0"/>
    </xf>
    <xf numFmtId="164" fontId="15" fillId="2" borderId="14" xfId="0" applyNumberFormat="1" applyFont="1" applyFill="1" applyBorder="1" applyAlignment="1" applyProtection="1">
      <alignment horizontal="right" vertical="center"/>
      <protection locked="0"/>
    </xf>
    <xf numFmtId="0" fontId="19" fillId="3" borderId="25" xfId="0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0" fontId="19" fillId="2" borderId="0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horizontal="center"/>
      <protection locked="0"/>
    </xf>
    <xf numFmtId="164" fontId="15" fillId="2" borderId="0" xfId="0" applyNumberFormat="1" applyFont="1" applyFill="1" applyBorder="1" applyAlignment="1" applyProtection="1">
      <alignment horizontal="right" vertical="center"/>
      <protection hidden="1"/>
    </xf>
    <xf numFmtId="166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right" vertical="center"/>
      <protection hidden="1"/>
    </xf>
    <xf numFmtId="2" fontId="19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protection locked="0"/>
    </xf>
    <xf numFmtId="49" fontId="6" fillId="2" borderId="0" xfId="0" applyNumberFormat="1" applyFont="1" applyFill="1" applyBorder="1" applyAlignment="1" applyProtection="1">
      <alignment horizontal="left"/>
      <protection locked="0"/>
    </xf>
    <xf numFmtId="0" fontId="19" fillId="2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19" fillId="2" borderId="5" xfId="0" applyFont="1" applyFill="1" applyBorder="1" applyAlignment="1" applyProtection="1">
      <alignment horizontal="center" vertical="center"/>
      <protection hidden="1"/>
    </xf>
    <xf numFmtId="2" fontId="9" fillId="0" borderId="0" xfId="0" applyNumberFormat="1" applyFont="1" applyAlignment="1" applyProtection="1">
      <alignment horizontal="left"/>
      <protection locked="0"/>
    </xf>
    <xf numFmtId="2" fontId="19" fillId="2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Protection="1">
      <protection locked="0"/>
    </xf>
    <xf numFmtId="0" fontId="18" fillId="0" borderId="0" xfId="0" applyFont="1" applyFill="1" applyBorder="1" applyProtection="1">
      <protection locked="0"/>
    </xf>
    <xf numFmtId="2" fontId="19" fillId="2" borderId="0" xfId="0" applyNumberFormat="1" applyFont="1" applyFill="1" applyBorder="1" applyAlignment="1" applyProtection="1">
      <alignment horizontal="center"/>
      <protection locked="0"/>
    </xf>
    <xf numFmtId="2" fontId="9" fillId="0" borderId="0" xfId="0" applyNumberFormat="1" applyFont="1" applyProtection="1">
      <protection locked="0"/>
    </xf>
    <xf numFmtId="0" fontId="19" fillId="2" borderId="0" xfId="0" applyFont="1" applyFill="1" applyBorder="1" applyProtection="1">
      <protection hidden="1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Protection="1">
      <protection locked="0"/>
    </xf>
    <xf numFmtId="0" fontId="19" fillId="2" borderId="8" xfId="0" applyFont="1" applyFill="1" applyBorder="1" applyAlignment="1" applyProtection="1">
      <alignment horizontal="center"/>
      <protection hidden="1"/>
    </xf>
    <xf numFmtId="0" fontId="19" fillId="2" borderId="5" xfId="0" applyFont="1" applyFill="1" applyBorder="1" applyAlignment="1" applyProtection="1">
      <alignment horizontal="center"/>
      <protection hidden="1"/>
    </xf>
    <xf numFmtId="2" fontId="19" fillId="2" borderId="6" xfId="0" applyNumberFormat="1" applyFont="1" applyFill="1" applyBorder="1" applyAlignment="1" applyProtection="1">
      <alignment horizontal="center" vertical="center"/>
      <protection hidden="1"/>
    </xf>
    <xf numFmtId="2" fontId="19" fillId="2" borderId="8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9" fontId="9" fillId="0" borderId="0" xfId="1" applyFont="1" applyProtection="1">
      <protection locked="0"/>
    </xf>
    <xf numFmtId="0" fontId="19" fillId="3" borderId="12" xfId="0" applyFont="1" applyFill="1" applyBorder="1" applyAlignment="1" applyProtection="1">
      <alignment horizontal="center" wrapText="1"/>
      <protection locked="0"/>
    </xf>
    <xf numFmtId="2" fontId="19" fillId="0" borderId="9" xfId="0" applyNumberFormat="1" applyFont="1" applyBorder="1" applyAlignment="1" applyProtection="1">
      <alignment horizontal="center" vertical="center"/>
      <protection hidden="1"/>
    </xf>
    <xf numFmtId="0" fontId="19" fillId="3" borderId="15" xfId="0" applyFont="1" applyFill="1" applyBorder="1" applyAlignment="1" applyProtection="1">
      <alignment horizontal="center" wrapText="1"/>
      <protection locked="0"/>
    </xf>
    <xf numFmtId="2" fontId="19" fillId="0" borderId="20" xfId="0" applyNumberFormat="1" applyFont="1" applyBorder="1" applyAlignment="1" applyProtection="1">
      <alignment horizontal="center" vertical="center"/>
      <protection hidden="1"/>
    </xf>
    <xf numFmtId="9" fontId="9" fillId="0" borderId="0" xfId="1" applyFont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  <xf numFmtId="164" fontId="19" fillId="2" borderId="5" xfId="0" applyNumberFormat="1" applyFont="1" applyFill="1" applyBorder="1" applyAlignment="1" applyProtection="1">
      <alignment horizontal="center" vertical="center"/>
      <protection hidden="1"/>
    </xf>
    <xf numFmtId="164" fontId="20" fillId="3" borderId="25" xfId="2" applyNumberFormat="1" applyFont="1" applyFill="1" applyBorder="1" applyAlignment="1" applyProtection="1">
      <alignment horizontal="center" vertical="center"/>
      <protection locked="0"/>
    </xf>
    <xf numFmtId="164" fontId="19" fillId="2" borderId="5" xfId="0" applyNumberFormat="1" applyFont="1" applyFill="1" applyBorder="1" applyAlignment="1" applyProtection="1">
      <alignment horizontal="center" vertical="center"/>
      <protection locked="0"/>
    </xf>
    <xf numFmtId="164" fontId="19" fillId="0" borderId="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164" fontId="19" fillId="0" borderId="8" xfId="0" applyNumberFormat="1" applyFont="1" applyBorder="1" applyAlignment="1" applyProtection="1">
      <alignment horizontal="center" vertical="center" shrinkToFit="1"/>
      <protection locked="0"/>
    </xf>
    <xf numFmtId="9" fontId="19" fillId="0" borderId="5" xfId="1" applyFont="1" applyBorder="1" applyAlignment="1" applyProtection="1">
      <alignment horizontal="center" vertical="center" shrinkToFit="1"/>
      <protection locked="0"/>
    </xf>
    <xf numFmtId="166" fontId="19" fillId="2" borderId="5" xfId="0" applyNumberFormat="1" applyFont="1" applyFill="1" applyBorder="1" applyAlignment="1" applyProtection="1">
      <alignment horizontal="center" vertical="center"/>
      <protection hidden="1"/>
    </xf>
    <xf numFmtId="2" fontId="19" fillId="0" borderId="5" xfId="1" applyNumberFormat="1" applyFont="1" applyBorder="1" applyAlignment="1" applyProtection="1">
      <alignment horizontal="center" vertical="center" shrinkToFit="1"/>
      <protection locked="0"/>
    </xf>
    <xf numFmtId="2" fontId="19" fillId="2" borderId="18" xfId="0" applyNumberFormat="1" applyFont="1" applyFill="1" applyBorder="1" applyAlignment="1" applyProtection="1">
      <alignment horizontal="center" vertical="center"/>
      <protection hidden="1"/>
    </xf>
    <xf numFmtId="2" fontId="19" fillId="2" borderId="7" xfId="0" applyNumberFormat="1" applyFont="1" applyFill="1" applyBorder="1" applyAlignment="1" applyProtection="1">
      <alignment horizontal="center" vertical="center"/>
      <protection hidden="1"/>
    </xf>
    <xf numFmtId="2" fontId="19" fillId="2" borderId="19" xfId="0" applyNumberFormat="1" applyFont="1" applyFill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9" fillId="2" borderId="11" xfId="0" applyNumberFormat="1" applyFont="1" applyFill="1" applyBorder="1" applyAlignment="1" applyProtection="1">
      <alignment horizontal="center" vertical="center"/>
      <protection hidden="1"/>
    </xf>
    <xf numFmtId="2" fontId="22" fillId="0" borderId="0" xfId="0" applyNumberFormat="1" applyFont="1" applyBorder="1" applyAlignment="1" applyProtection="1">
      <alignment horizontal="center" vertical="center"/>
      <protection hidden="1"/>
    </xf>
    <xf numFmtId="167" fontId="22" fillId="0" borderId="0" xfId="0" applyNumberFormat="1" applyFont="1" applyBorder="1" applyAlignment="1" applyProtection="1">
      <alignment horizontal="center" vertical="center"/>
      <protection hidden="1"/>
    </xf>
    <xf numFmtId="0" fontId="26" fillId="0" borderId="0" xfId="0" applyFont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19" fillId="2" borderId="8" xfId="0" applyFont="1" applyFill="1" applyBorder="1" applyAlignment="1" applyProtection="1">
      <alignment horizontal="center"/>
      <protection hidden="1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164" fontId="19" fillId="3" borderId="0" xfId="0" applyNumberFormat="1" applyFont="1" applyFill="1" applyBorder="1" applyAlignment="1" applyProtection="1">
      <alignment horizontal="center" vertical="center"/>
      <protection locked="0" hidden="1"/>
    </xf>
    <xf numFmtId="0" fontId="19" fillId="3" borderId="11" xfId="0" applyFont="1" applyFill="1" applyBorder="1" applyAlignment="1" applyProtection="1">
      <alignment horizontal="center" wrapText="1"/>
      <protection locked="0"/>
    </xf>
    <xf numFmtId="0" fontId="19" fillId="3" borderId="14" xfId="0" applyFont="1" applyFill="1" applyBorder="1" applyAlignment="1" applyProtection="1">
      <alignment horizontal="center" wrapText="1"/>
      <protection locked="0"/>
    </xf>
    <xf numFmtId="9" fontId="19" fillId="3" borderId="8" xfId="1" applyFont="1" applyFill="1" applyBorder="1" applyAlignment="1" applyProtection="1">
      <alignment horizontal="center" vertical="center"/>
      <protection locked="0" hidden="1"/>
    </xf>
    <xf numFmtId="165" fontId="19" fillId="3" borderId="8" xfId="1" applyNumberFormat="1" applyFont="1" applyFill="1" applyBorder="1" applyAlignment="1" applyProtection="1">
      <alignment horizontal="center" vertical="center"/>
      <protection locked="0" hidden="1"/>
    </xf>
    <xf numFmtId="166" fontId="9" fillId="0" borderId="0" xfId="0" applyNumberFormat="1" applyFont="1" applyBorder="1"/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19" fillId="2" borderId="5" xfId="0" applyFont="1" applyFill="1" applyBorder="1" applyAlignment="1" applyProtection="1">
      <protection hidden="1"/>
    </xf>
    <xf numFmtId="0" fontId="19" fillId="2" borderId="6" xfId="0" applyFont="1" applyFill="1" applyBorder="1" applyAlignment="1" applyProtection="1">
      <alignment horizontal="center"/>
      <protection hidden="1"/>
    </xf>
    <xf numFmtId="0" fontId="19" fillId="2" borderId="8" xfId="0" applyFont="1" applyFill="1" applyBorder="1" applyAlignment="1" applyProtection="1">
      <alignment horizontal="center"/>
      <protection hidden="1"/>
    </xf>
    <xf numFmtId="0" fontId="15" fillId="2" borderId="5" xfId="0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protection locked="0"/>
    </xf>
    <xf numFmtId="49" fontId="6" fillId="3" borderId="26" xfId="0" applyNumberFormat="1" applyFont="1" applyFill="1" applyBorder="1" applyAlignment="1" applyProtection="1">
      <alignment horizontal="left"/>
      <protection locked="0"/>
    </xf>
    <xf numFmtId="49" fontId="6" fillId="3" borderId="27" xfId="0" applyNumberFormat="1" applyFont="1" applyFill="1" applyBorder="1" applyAlignment="1" applyProtection="1">
      <alignment horizontal="left"/>
      <protection locked="0"/>
    </xf>
    <xf numFmtId="49" fontId="2" fillId="3" borderId="27" xfId="0" applyNumberFormat="1" applyFont="1" applyFill="1" applyBorder="1" applyAlignment="1" applyProtection="1">
      <alignment horizontal="left"/>
      <protection locked="0"/>
    </xf>
    <xf numFmtId="49" fontId="2" fillId="3" borderId="28" xfId="0" applyNumberFormat="1" applyFont="1" applyFill="1" applyBorder="1" applyAlignment="1" applyProtection="1">
      <alignment horizontal="left"/>
      <protection locked="0"/>
    </xf>
    <xf numFmtId="0" fontId="19" fillId="2" borderId="5" xfId="0" applyFont="1" applyFill="1" applyBorder="1" applyAlignment="1" applyProtection="1">
      <protection locked="0"/>
    </xf>
    <xf numFmtId="0" fontId="15" fillId="2" borderId="9" xfId="0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2" borderId="11" xfId="0" applyFont="1" applyFill="1" applyBorder="1" applyAlignment="1" applyProtection="1">
      <alignment horizontal="center" vertical="center"/>
      <protection locked="0"/>
    </xf>
    <xf numFmtId="2" fontId="19" fillId="2" borderId="18" xfId="0" applyNumberFormat="1" applyFont="1" applyFill="1" applyBorder="1" applyAlignment="1" applyProtection="1">
      <alignment horizontal="center" vertical="center"/>
      <protection hidden="1"/>
    </xf>
    <xf numFmtId="2" fontId="19" fillId="2" borderId="19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top" wrapText="1"/>
      <protection locked="0"/>
    </xf>
    <xf numFmtId="0" fontId="20" fillId="0" borderId="2" xfId="0" applyFont="1" applyBorder="1" applyAlignment="1" applyProtection="1">
      <alignment horizontal="center" vertical="top" wrapText="1"/>
      <protection locked="0"/>
    </xf>
    <xf numFmtId="0" fontId="19" fillId="0" borderId="2" xfId="0" applyFont="1" applyBorder="1" applyAlignment="1" applyProtection="1">
      <alignment horizontal="center" vertical="top" wrapText="1"/>
      <protection locked="0"/>
    </xf>
    <xf numFmtId="0" fontId="19" fillId="0" borderId="3" xfId="0" applyFont="1" applyBorder="1" applyAlignment="1" applyProtection="1">
      <alignment horizontal="center" vertical="top" wrapText="1"/>
      <protection locked="0"/>
    </xf>
    <xf numFmtId="0" fontId="21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/>
      <protection locked="0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19" fillId="2" borderId="6" xfId="0" applyFont="1" applyFill="1" applyBorder="1" applyAlignment="1" applyProtection="1">
      <alignment horizontal="center"/>
      <protection locked="0"/>
    </xf>
    <xf numFmtId="0" fontId="19" fillId="2" borderId="7" xfId="0" applyFont="1" applyFill="1" applyBorder="1" applyAlignment="1" applyProtection="1">
      <alignment horizontal="center"/>
      <protection locked="0"/>
    </xf>
    <xf numFmtId="2" fontId="22" fillId="2" borderId="12" xfId="0" applyNumberFormat="1" applyFont="1" applyFill="1" applyBorder="1" applyAlignment="1" applyProtection="1">
      <alignment horizontal="center" vertical="center" wrapText="1"/>
      <protection hidden="1"/>
    </xf>
    <xf numFmtId="2" fontId="22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19" fillId="2" borderId="1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165" fontId="20" fillId="2" borderId="9" xfId="0" applyNumberFormat="1" applyFont="1" applyFill="1" applyBorder="1" applyAlignment="1" applyProtection="1">
      <alignment horizontal="center" vertical="center"/>
      <protection hidden="1"/>
    </xf>
    <xf numFmtId="165" fontId="19" fillId="2" borderId="20" xfId="0" applyNumberFormat="1" applyFont="1" applyFill="1" applyBorder="1" applyAlignment="1" applyProtection="1">
      <alignment horizontal="center" vertical="center"/>
      <protection hidden="1"/>
    </xf>
    <xf numFmtId="2" fontId="22" fillId="0" borderId="10" xfId="0" applyNumberFormat="1" applyFont="1" applyBorder="1" applyAlignment="1" applyProtection="1">
      <alignment horizontal="center" vertical="center"/>
      <protection hidden="1"/>
    </xf>
    <xf numFmtId="2" fontId="22" fillId="0" borderId="13" xfId="0" applyNumberFormat="1" applyFont="1" applyBorder="1" applyAlignment="1" applyProtection="1">
      <alignment horizontal="center" vertical="center"/>
      <protection hidden="1"/>
    </xf>
    <xf numFmtId="0" fontId="19" fillId="3" borderId="25" xfId="0" applyFont="1" applyFill="1" applyBorder="1" applyAlignment="1" applyProtection="1">
      <alignment horizontal="left" vertical="center" wrapText="1"/>
      <protection locked="0" hidden="1"/>
    </xf>
    <xf numFmtId="0" fontId="19" fillId="3" borderId="25" xfId="0" applyFont="1" applyFill="1" applyBorder="1" applyAlignment="1" applyProtection="1">
      <alignment horizontal="center" vertical="center" wrapText="1"/>
      <protection locked="0"/>
    </xf>
    <xf numFmtId="0" fontId="22" fillId="2" borderId="24" xfId="0" applyNumberFormat="1" applyFont="1" applyFill="1" applyBorder="1" applyAlignment="1" applyProtection="1">
      <alignment horizontal="left" vertical="center"/>
      <protection hidden="1"/>
    </xf>
    <xf numFmtId="0" fontId="22" fillId="2" borderId="22" xfId="0" applyNumberFormat="1" applyFont="1" applyFill="1" applyBorder="1" applyAlignment="1" applyProtection="1">
      <alignment horizontal="left" vertical="center"/>
      <protection hidden="1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22" fillId="2" borderId="23" xfId="0" applyNumberFormat="1" applyFont="1" applyFill="1" applyBorder="1" applyAlignment="1" applyProtection="1">
      <alignment horizontal="right" vertical="center"/>
      <protection hidden="1"/>
    </xf>
    <xf numFmtId="0" fontId="22" fillId="2" borderId="21" xfId="0" applyNumberFormat="1" applyFont="1" applyFill="1" applyBorder="1" applyAlignment="1" applyProtection="1">
      <alignment horizontal="right" vertical="center"/>
      <protection hidden="1"/>
    </xf>
    <xf numFmtId="0" fontId="19" fillId="3" borderId="29" xfId="0" applyFont="1" applyFill="1" applyBorder="1" applyAlignment="1" applyProtection="1">
      <alignment horizontal="center" vertical="center" wrapText="1"/>
      <protection locked="0"/>
    </xf>
    <xf numFmtId="0" fontId="19" fillId="3" borderId="30" xfId="0" applyFont="1" applyFill="1" applyBorder="1" applyAlignment="1" applyProtection="1">
      <alignment horizontal="center" vertical="center" wrapText="1"/>
      <protection locked="0"/>
    </xf>
    <xf numFmtId="0" fontId="19" fillId="3" borderId="31" xfId="0" applyFont="1" applyFill="1" applyBorder="1" applyAlignment="1" applyProtection="1">
      <alignment horizontal="center" vertical="center" wrapText="1"/>
      <protection locked="0"/>
    </xf>
    <xf numFmtId="0" fontId="19" fillId="3" borderId="32" xfId="0" applyFont="1" applyFill="1" applyBorder="1" applyAlignment="1" applyProtection="1">
      <alignment horizontal="center" vertical="center" wrapText="1"/>
      <protection locked="0"/>
    </xf>
    <xf numFmtId="0" fontId="19" fillId="3" borderId="25" xfId="0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 wrapText="1"/>
      <protection locked="0"/>
    </xf>
  </cellXfs>
  <cellStyles count="4">
    <cellStyle name="Обычный" xfId="0" builtinId="0"/>
    <cellStyle name="Обычный 2" xfId="2" xr:uid="{00000000-0005-0000-0000-000001000000}"/>
    <cellStyle name="Обычный 3" xfId="3" xr:uid="{54A2DDED-1F61-4316-A31D-14F0F3CB64FA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90541460095265"/>
          <c:y val="7.6795154428824189E-2"/>
          <c:w val="0.81674247953497203"/>
          <c:h val="0.74423797025371818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6350" cap="rnd">
                <a:solidFill>
                  <a:schemeClr val="tx1"/>
                </a:solidFill>
                <a:prstDash val="solid"/>
              </a:ln>
              <a:effectLst/>
            </c:spPr>
            <c:trendlineType val="log"/>
            <c:dispRSqr val="0"/>
            <c:dispEq val="0"/>
          </c:trendline>
          <c:xVal>
            <c:numRef>
              <c:f>'Продоскрин ИФА-Пенициллин'!$B$11:$B$16</c:f>
              <c:numCache>
                <c:formatCode>0.000</c:formatCode>
                <c:ptCount val="6"/>
                <c:pt idx="0">
                  <c:v>0.125</c:v>
                </c:pt>
                <c:pt idx="1">
                  <c:v>0.25</c:v>
                </c:pt>
                <c:pt idx="2">
                  <c:v>0.5</c:v>
                </c:pt>
                <c:pt idx="3">
                  <c:v>1</c:v>
                </c:pt>
                <c:pt idx="4">
                  <c:v>2</c:v>
                </c:pt>
                <c:pt idx="5">
                  <c:v>4</c:v>
                </c:pt>
              </c:numCache>
            </c:numRef>
          </c:xVal>
          <c:yVal>
            <c:numRef>
              <c:f>'Продоскрин ИФА-Пенициллин'!$M$11:$M$16</c:f>
              <c:numCache>
                <c:formatCode>0.0000</c:formatCode>
                <c:ptCount val="6"/>
                <c:pt idx="0">
                  <c:v>0.56573293391278512</c:v>
                </c:pt>
                <c:pt idx="1">
                  <c:v>0.2046094073834564</c:v>
                </c:pt>
                <c:pt idx="2">
                  <c:v>-6.8112055910327235E-2</c:v>
                </c:pt>
                <c:pt idx="3">
                  <c:v>-0.43977278285481919</c:v>
                </c:pt>
                <c:pt idx="4">
                  <c:v>-0.72423751735121045</c:v>
                </c:pt>
                <c:pt idx="5">
                  <c:v>-0.99236514716845914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0F-4202-946B-5424D63B1548}"/>
            </c:ext>
          </c:extLst>
        </c:ser>
        <c:ser>
          <c:idx val="1"/>
          <c:order val="1"/>
          <c:spPr>
            <a:ln w="63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'Продоскрин ИФА-Пенициллин'!$N$11:$N$12</c:f>
              <c:numCache>
                <c:formatCode>0.00</c:formatCode>
                <c:ptCount val="2"/>
                <c:pt idx="0">
                  <c:v>0.1</c:v>
                </c:pt>
                <c:pt idx="1">
                  <c:v>10</c:v>
                </c:pt>
              </c:numCache>
            </c:numRef>
          </c:xVal>
          <c:yVal>
            <c:numRef>
              <c:f>'Продоскрин ИФА-Пенициллин'!$O$11:$O$12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17-47B8-8996-C4B736093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738048"/>
        <c:axId val="148739968"/>
      </c:scatterChart>
      <c:valAx>
        <c:axId val="148738048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ru-RU" sz="1100" b="0">
                    <a:solidFill>
                      <a:schemeClr val="tx1"/>
                    </a:solidFill>
                  </a:rPr>
                  <a:t>Концентрация ампициллина, нг/мл</a:t>
                </a:r>
              </a:p>
            </c:rich>
          </c:tx>
          <c:layout>
            <c:manualLayout>
              <c:xMode val="edge"/>
              <c:yMode val="edge"/>
              <c:x val="0.33489134303256973"/>
              <c:y val="0.907459008800370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48739968"/>
        <c:crossesAt val="-1.5"/>
        <c:crossBetween val="midCat"/>
      </c:valAx>
      <c:valAx>
        <c:axId val="14873996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100" b="0">
                    <a:solidFill>
                      <a:schemeClr val="tx1"/>
                    </a:solidFill>
                  </a:rPr>
                  <a:t>lg[B'/(B</a:t>
                </a:r>
                <a:r>
                  <a:rPr lang="en-US" sz="1100" b="0" baseline="-25000">
                    <a:solidFill>
                      <a:schemeClr val="tx1"/>
                    </a:solidFill>
                  </a:rPr>
                  <a:t>0</a:t>
                </a:r>
                <a:r>
                  <a:rPr lang="en-US" sz="1100" b="0">
                    <a:solidFill>
                      <a:schemeClr val="tx1"/>
                    </a:solidFill>
                  </a:rPr>
                  <a:t>-B)]</a:t>
                </a:r>
                <a:endParaRPr lang="ru-RU" sz="1100" b="0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ru-RU"/>
          </a:p>
        </c:txPr>
        <c:crossAx val="148738048"/>
        <c:crossesAt val="-1"/>
        <c:crossBetween val="midCat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257175</xdr:rowOff>
    </xdr:from>
    <xdr:to>
      <xdr:col>1</xdr:col>
      <xdr:colOff>0</xdr:colOff>
      <xdr:row>0</xdr:row>
      <xdr:rowOff>752475</xdr:rowOff>
    </xdr:to>
    <xdr:pic>
      <xdr:nvPicPr>
        <xdr:cNvPr id="3" name="Рисунок 23" descr="Лого КП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7175"/>
          <a:ext cx="575733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409575</xdr:rowOff>
    </xdr:from>
    <xdr:to>
      <xdr:col>2</xdr:col>
      <xdr:colOff>972608</xdr:colOff>
      <xdr:row>0</xdr:row>
      <xdr:rowOff>752475</xdr:rowOff>
    </xdr:to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09575"/>
          <a:ext cx="22574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347928</xdr:colOff>
      <xdr:row>0</xdr:row>
      <xdr:rowOff>346604</xdr:rowOff>
    </xdr:from>
    <xdr:to>
      <xdr:col>21</xdr:col>
      <xdr:colOff>703790</xdr:colOff>
      <xdr:row>18</xdr:row>
      <xdr:rowOff>125676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0.72429</cdr:x>
      <cdr:y>0.90476</cdr:y>
    </cdr:from>
    <cdr:to>
      <cdr:x>0.89716</cdr:x>
      <cdr:y>0.97619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879DD29-922F-438A-9C46-32938DF9E0D7}"/>
            </a:ext>
          </a:extLst>
        </cdr:cNvPr>
        <cdr:cNvSpPr txBox="1"/>
      </cdr:nvSpPr>
      <cdr:spPr>
        <a:xfrm xmlns:a="http://schemas.openxmlformats.org/drawingml/2006/main">
          <a:off x="3503084" y="3619500"/>
          <a:ext cx="836083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x-none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16</xdr:row>
      <xdr:rowOff>79884</xdr:rowOff>
    </xdr:from>
    <xdr:to>
      <xdr:col>9</xdr:col>
      <xdr:colOff>66675</xdr:colOff>
      <xdr:row>18</xdr:row>
      <xdr:rowOff>3684</xdr:rowOff>
    </xdr:to>
    <xdr:sp macro="" textlink="">
      <xdr:nvSpPr>
        <xdr:cNvPr id="5" name="Стрелка: вправо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657725" y="4689984"/>
          <a:ext cx="895350" cy="304800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0</xdr:col>
      <xdr:colOff>38100</xdr:colOff>
      <xdr:row>0</xdr:row>
      <xdr:rowOff>323850</xdr:rowOff>
    </xdr:from>
    <xdr:to>
      <xdr:col>0</xdr:col>
      <xdr:colOff>514350</xdr:colOff>
      <xdr:row>0</xdr:row>
      <xdr:rowOff>736600</xdr:rowOff>
    </xdr:to>
    <xdr:pic>
      <xdr:nvPicPr>
        <xdr:cNvPr id="14" name="Рисунок 23" descr="Лого КПС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23850"/>
          <a:ext cx="476250" cy="412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552450</xdr:colOff>
      <xdr:row>0</xdr:row>
      <xdr:rowOff>419100</xdr:rowOff>
    </xdr:from>
    <xdr:to>
      <xdr:col>3</xdr:col>
      <xdr:colOff>504825</xdr:colOff>
      <xdr:row>0</xdr:row>
      <xdr:rowOff>787705</xdr:rowOff>
    </xdr:to>
    <xdr:pic>
      <xdr:nvPicPr>
        <xdr:cNvPr id="15" name="Рисунок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19100"/>
          <a:ext cx="1781175" cy="368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114301</xdr:rowOff>
    </xdr:from>
    <xdr:to>
      <xdr:col>12</xdr:col>
      <xdr:colOff>409575</xdr:colOff>
      <xdr:row>11</xdr:row>
      <xdr:rowOff>17671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33651"/>
          <a:ext cx="7724775" cy="665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171450</xdr:colOff>
      <xdr:row>13</xdr:row>
      <xdr:rowOff>83784</xdr:rowOff>
    </xdr:from>
    <xdr:to>
      <xdr:col>16</xdr:col>
      <xdr:colOff>538435</xdr:colOff>
      <xdr:row>20</xdr:row>
      <xdr:rowOff>190284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4219"/>
        <a:stretch/>
      </xdr:blipFill>
      <xdr:spPr bwMode="auto">
        <a:xfrm>
          <a:off x="5657850" y="4122384"/>
          <a:ext cx="463418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13</xdr:row>
      <xdr:rowOff>83784</xdr:rowOff>
    </xdr:from>
    <xdr:to>
      <xdr:col>7</xdr:col>
      <xdr:colOff>290400</xdr:colOff>
      <xdr:row>20</xdr:row>
      <xdr:rowOff>190284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22384"/>
          <a:ext cx="4557600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23</xdr:row>
      <xdr:rowOff>142875</xdr:rowOff>
    </xdr:from>
    <xdr:to>
      <xdr:col>15</xdr:col>
      <xdr:colOff>396773</xdr:colOff>
      <xdr:row>38</xdr:row>
      <xdr:rowOff>28574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181725"/>
          <a:ext cx="9540772" cy="2743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59</xdr:row>
      <xdr:rowOff>171450</xdr:rowOff>
    </xdr:from>
    <xdr:to>
      <xdr:col>20</xdr:col>
      <xdr:colOff>581024</xdr:colOff>
      <xdr:row>76</xdr:row>
      <xdr:rowOff>104259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4068425"/>
          <a:ext cx="12715875" cy="317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38100</xdr:rowOff>
    </xdr:from>
    <xdr:to>
      <xdr:col>21</xdr:col>
      <xdr:colOff>219713</xdr:colOff>
      <xdr:row>57</xdr:row>
      <xdr:rowOff>38099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572625"/>
          <a:ext cx="12992738" cy="3238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S-PDC\_kps\&#1055;&#1088;&#1086;&#1075;&#1088;&#1072;&#1084;&#1084;&#1099;%20&#1058;&#1045;&#1057;&#1058;&#1067;\&#1048;&#1041;&#1054;&#1061;%20&#1087;&#1088;&#1086;&#1075;&#1088;&#1072;&#1084;&#1084;&#1099;\&#1040;&#1085;&#1090;&#1080;&#1073;&#1080;&#1086;&#1090;&#1080;&#1082;&#1080;%20&#1048;&#1041;&#1054;&#1061;\&#1048;&#1060;&#1040;-&#1061;&#1083;&#1086;&#1088;&#1072;&#1084;&#1092;&#1077;&#1085;&#1080;&#1082;&#1086;&#1083;%20&#1050;&#1086;&#1085;&#1090;&#1088;&#1086;&#1083;&#1100;%20&#1082;&#1072;&#1095;&#1077;&#1089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холостой пробой"/>
      <sheetName val="Хлорамфеникол"/>
      <sheetName val="Worksheet"/>
      <sheetName val="Лист1"/>
    </sheetNames>
    <sheetDataSet>
      <sheetData sheetId="0">
        <row r="61">
          <cell r="H61">
            <v>10</v>
          </cell>
        </row>
      </sheetData>
      <sheetData sheetId="1">
        <row r="5">
          <cell r="Q5" t="str">
            <v>нннн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8"/>
  <sheetViews>
    <sheetView tabSelected="1" topLeftCell="A13" zoomScale="80" zoomScaleNormal="80" workbookViewId="0">
      <selection activeCell="X14" sqref="X14"/>
    </sheetView>
  </sheetViews>
  <sheetFormatPr defaultRowHeight="15"/>
  <cols>
    <col min="1" max="1" width="9.140625" style="5"/>
    <col min="2" max="2" width="19.42578125" style="5" customWidth="1"/>
    <col min="3" max="3" width="15.5703125" style="5" customWidth="1"/>
    <col min="4" max="5" width="26.7109375" style="5" customWidth="1"/>
    <col min="6" max="7" width="15.85546875" style="5" hidden="1" customWidth="1"/>
    <col min="8" max="8" width="15" style="5" customWidth="1"/>
    <col min="9" max="9" width="13.85546875" style="5" customWidth="1"/>
    <col min="10" max="10" width="22.5703125" style="5" customWidth="1"/>
    <col min="11" max="11" width="9.5703125" style="5" customWidth="1"/>
    <col min="12" max="12" width="9.5703125" style="5" hidden="1" customWidth="1"/>
    <col min="13" max="13" width="14" style="5" customWidth="1"/>
    <col min="14" max="14" width="9.7109375" style="5" customWidth="1"/>
    <col min="15" max="15" width="19.28515625" style="5" customWidth="1"/>
    <col min="16" max="16" width="10.85546875" style="5" hidden="1" customWidth="1"/>
    <col min="17" max="17" width="23.5703125" style="5" customWidth="1"/>
    <col min="18" max="19" width="13.5703125" style="5" hidden="1" customWidth="1"/>
    <col min="20" max="20" width="8.5703125" style="5" customWidth="1"/>
    <col min="21" max="21" width="8.85546875" style="5" customWidth="1"/>
    <col min="22" max="22" width="22.28515625" style="5" customWidth="1"/>
    <col min="23" max="23" width="10.28515625" style="5" customWidth="1"/>
    <col min="24" max="24" width="22.140625" style="5" customWidth="1"/>
    <col min="25" max="25" width="16.28515625" style="5" hidden="1" customWidth="1"/>
    <col min="26" max="26" width="35.42578125" style="5" hidden="1" customWidth="1"/>
    <col min="27" max="27" width="15.42578125" style="5" hidden="1" customWidth="1"/>
    <col min="28" max="28" width="15.7109375" style="5" hidden="1" customWidth="1"/>
    <col min="29" max="29" width="19.5703125" style="5" hidden="1" customWidth="1"/>
    <col min="30" max="30" width="14.5703125" style="5" customWidth="1"/>
    <col min="31" max="263" width="9.140625" style="5"/>
    <col min="264" max="264" width="19.42578125" style="5" customWidth="1"/>
    <col min="265" max="265" width="14.42578125" style="5" customWidth="1"/>
    <col min="266" max="266" width="14.28515625" style="5" customWidth="1"/>
    <col min="267" max="267" width="15.85546875" style="5" customWidth="1"/>
    <col min="268" max="268" width="14.42578125" style="5" customWidth="1"/>
    <col min="269" max="269" width="17.140625" style="5" customWidth="1"/>
    <col min="270" max="270" width="17.7109375" style="5" customWidth="1"/>
    <col min="271" max="271" width="14.7109375" style="5" customWidth="1"/>
    <col min="272" max="272" width="14.85546875" style="5" customWidth="1"/>
    <col min="273" max="273" width="23.42578125" style="5" customWidth="1"/>
    <col min="274" max="274" width="0.140625" style="5" customWidth="1"/>
    <col min="275" max="275" width="28.42578125" style="5" customWidth="1"/>
    <col min="276" max="276" width="12" style="5" customWidth="1"/>
    <col min="277" max="277" width="6.140625" style="5" customWidth="1"/>
    <col min="278" max="278" width="26.85546875" style="5" customWidth="1"/>
    <col min="279" max="279" width="10.28515625" style="5" customWidth="1"/>
    <col min="280" max="280" width="8.7109375" style="5" customWidth="1"/>
    <col min="281" max="285" width="0" style="5" hidden="1" customWidth="1"/>
    <col min="286" max="286" width="14.5703125" style="5" customWidth="1"/>
    <col min="287" max="519" width="9.140625" style="5"/>
    <col min="520" max="520" width="19.42578125" style="5" customWidth="1"/>
    <col min="521" max="521" width="14.42578125" style="5" customWidth="1"/>
    <col min="522" max="522" width="14.28515625" style="5" customWidth="1"/>
    <col min="523" max="523" width="15.85546875" style="5" customWidth="1"/>
    <col min="524" max="524" width="14.42578125" style="5" customWidth="1"/>
    <col min="525" max="525" width="17.140625" style="5" customWidth="1"/>
    <col min="526" max="526" width="17.7109375" style="5" customWidth="1"/>
    <col min="527" max="527" width="14.7109375" style="5" customWidth="1"/>
    <col min="528" max="528" width="14.85546875" style="5" customWidth="1"/>
    <col min="529" max="529" width="23.42578125" style="5" customWidth="1"/>
    <col min="530" max="530" width="0.140625" style="5" customWidth="1"/>
    <col min="531" max="531" width="28.42578125" style="5" customWidth="1"/>
    <col min="532" max="532" width="12" style="5" customWidth="1"/>
    <col min="533" max="533" width="6.140625" style="5" customWidth="1"/>
    <col min="534" max="534" width="26.85546875" style="5" customWidth="1"/>
    <col min="535" max="535" width="10.28515625" style="5" customWidth="1"/>
    <col min="536" max="536" width="8.7109375" style="5" customWidth="1"/>
    <col min="537" max="541" width="0" style="5" hidden="1" customWidth="1"/>
    <col min="542" max="542" width="14.5703125" style="5" customWidth="1"/>
    <col min="543" max="775" width="9.140625" style="5"/>
    <col min="776" max="776" width="19.42578125" style="5" customWidth="1"/>
    <col min="777" max="777" width="14.42578125" style="5" customWidth="1"/>
    <col min="778" max="778" width="14.28515625" style="5" customWidth="1"/>
    <col min="779" max="779" width="15.85546875" style="5" customWidth="1"/>
    <col min="780" max="780" width="14.42578125" style="5" customWidth="1"/>
    <col min="781" max="781" width="17.140625" style="5" customWidth="1"/>
    <col min="782" max="782" width="17.7109375" style="5" customWidth="1"/>
    <col min="783" max="783" width="14.7109375" style="5" customWidth="1"/>
    <col min="784" max="784" width="14.85546875" style="5" customWidth="1"/>
    <col min="785" max="785" width="23.42578125" style="5" customWidth="1"/>
    <col min="786" max="786" width="0.140625" style="5" customWidth="1"/>
    <col min="787" max="787" width="28.42578125" style="5" customWidth="1"/>
    <col min="788" max="788" width="12" style="5" customWidth="1"/>
    <col min="789" max="789" width="6.140625" style="5" customWidth="1"/>
    <col min="790" max="790" width="26.85546875" style="5" customWidth="1"/>
    <col min="791" max="791" width="10.28515625" style="5" customWidth="1"/>
    <col min="792" max="792" width="8.7109375" style="5" customWidth="1"/>
    <col min="793" max="797" width="0" style="5" hidden="1" customWidth="1"/>
    <col min="798" max="798" width="14.5703125" style="5" customWidth="1"/>
    <col min="799" max="1031" width="9.140625" style="5"/>
    <col min="1032" max="1032" width="19.42578125" style="5" customWidth="1"/>
    <col min="1033" max="1033" width="14.42578125" style="5" customWidth="1"/>
    <col min="1034" max="1034" width="14.28515625" style="5" customWidth="1"/>
    <col min="1035" max="1035" width="15.85546875" style="5" customWidth="1"/>
    <col min="1036" max="1036" width="14.42578125" style="5" customWidth="1"/>
    <col min="1037" max="1037" width="17.140625" style="5" customWidth="1"/>
    <col min="1038" max="1038" width="17.7109375" style="5" customWidth="1"/>
    <col min="1039" max="1039" width="14.7109375" style="5" customWidth="1"/>
    <col min="1040" max="1040" width="14.85546875" style="5" customWidth="1"/>
    <col min="1041" max="1041" width="23.42578125" style="5" customWidth="1"/>
    <col min="1042" max="1042" width="0.140625" style="5" customWidth="1"/>
    <col min="1043" max="1043" width="28.42578125" style="5" customWidth="1"/>
    <col min="1044" max="1044" width="12" style="5" customWidth="1"/>
    <col min="1045" max="1045" width="6.140625" style="5" customWidth="1"/>
    <col min="1046" max="1046" width="26.85546875" style="5" customWidth="1"/>
    <col min="1047" max="1047" width="10.28515625" style="5" customWidth="1"/>
    <col min="1048" max="1048" width="8.7109375" style="5" customWidth="1"/>
    <col min="1049" max="1053" width="0" style="5" hidden="1" customWidth="1"/>
    <col min="1054" max="1054" width="14.5703125" style="5" customWidth="1"/>
    <col min="1055" max="1287" width="9.140625" style="5"/>
    <col min="1288" max="1288" width="19.42578125" style="5" customWidth="1"/>
    <col min="1289" max="1289" width="14.42578125" style="5" customWidth="1"/>
    <col min="1290" max="1290" width="14.28515625" style="5" customWidth="1"/>
    <col min="1291" max="1291" width="15.85546875" style="5" customWidth="1"/>
    <col min="1292" max="1292" width="14.42578125" style="5" customWidth="1"/>
    <col min="1293" max="1293" width="17.140625" style="5" customWidth="1"/>
    <col min="1294" max="1294" width="17.7109375" style="5" customWidth="1"/>
    <col min="1295" max="1295" width="14.7109375" style="5" customWidth="1"/>
    <col min="1296" max="1296" width="14.85546875" style="5" customWidth="1"/>
    <col min="1297" max="1297" width="23.42578125" style="5" customWidth="1"/>
    <col min="1298" max="1298" width="0.140625" style="5" customWidth="1"/>
    <col min="1299" max="1299" width="28.42578125" style="5" customWidth="1"/>
    <col min="1300" max="1300" width="12" style="5" customWidth="1"/>
    <col min="1301" max="1301" width="6.140625" style="5" customWidth="1"/>
    <col min="1302" max="1302" width="26.85546875" style="5" customWidth="1"/>
    <col min="1303" max="1303" width="10.28515625" style="5" customWidth="1"/>
    <col min="1304" max="1304" width="8.7109375" style="5" customWidth="1"/>
    <col min="1305" max="1309" width="0" style="5" hidden="1" customWidth="1"/>
    <col min="1310" max="1310" width="14.5703125" style="5" customWidth="1"/>
    <col min="1311" max="1543" width="9.140625" style="5"/>
    <col min="1544" max="1544" width="19.42578125" style="5" customWidth="1"/>
    <col min="1545" max="1545" width="14.42578125" style="5" customWidth="1"/>
    <col min="1546" max="1546" width="14.28515625" style="5" customWidth="1"/>
    <col min="1547" max="1547" width="15.85546875" style="5" customWidth="1"/>
    <col min="1548" max="1548" width="14.42578125" style="5" customWidth="1"/>
    <col min="1549" max="1549" width="17.140625" style="5" customWidth="1"/>
    <col min="1550" max="1550" width="17.7109375" style="5" customWidth="1"/>
    <col min="1551" max="1551" width="14.7109375" style="5" customWidth="1"/>
    <col min="1552" max="1552" width="14.85546875" style="5" customWidth="1"/>
    <col min="1553" max="1553" width="23.42578125" style="5" customWidth="1"/>
    <col min="1554" max="1554" width="0.140625" style="5" customWidth="1"/>
    <col min="1555" max="1555" width="28.42578125" style="5" customWidth="1"/>
    <col min="1556" max="1556" width="12" style="5" customWidth="1"/>
    <col min="1557" max="1557" width="6.140625" style="5" customWidth="1"/>
    <col min="1558" max="1558" width="26.85546875" style="5" customWidth="1"/>
    <col min="1559" max="1559" width="10.28515625" style="5" customWidth="1"/>
    <col min="1560" max="1560" width="8.7109375" style="5" customWidth="1"/>
    <col min="1561" max="1565" width="0" style="5" hidden="1" customWidth="1"/>
    <col min="1566" max="1566" width="14.5703125" style="5" customWidth="1"/>
    <col min="1567" max="1799" width="9.140625" style="5"/>
    <col min="1800" max="1800" width="19.42578125" style="5" customWidth="1"/>
    <col min="1801" max="1801" width="14.42578125" style="5" customWidth="1"/>
    <col min="1802" max="1802" width="14.28515625" style="5" customWidth="1"/>
    <col min="1803" max="1803" width="15.85546875" style="5" customWidth="1"/>
    <col min="1804" max="1804" width="14.42578125" style="5" customWidth="1"/>
    <col min="1805" max="1805" width="17.140625" style="5" customWidth="1"/>
    <col min="1806" max="1806" width="17.7109375" style="5" customWidth="1"/>
    <col min="1807" max="1807" width="14.7109375" style="5" customWidth="1"/>
    <col min="1808" max="1808" width="14.85546875" style="5" customWidth="1"/>
    <col min="1809" max="1809" width="23.42578125" style="5" customWidth="1"/>
    <col min="1810" max="1810" width="0.140625" style="5" customWidth="1"/>
    <col min="1811" max="1811" width="28.42578125" style="5" customWidth="1"/>
    <col min="1812" max="1812" width="12" style="5" customWidth="1"/>
    <col min="1813" max="1813" width="6.140625" style="5" customWidth="1"/>
    <col min="1814" max="1814" width="26.85546875" style="5" customWidth="1"/>
    <col min="1815" max="1815" width="10.28515625" style="5" customWidth="1"/>
    <col min="1816" max="1816" width="8.7109375" style="5" customWidth="1"/>
    <col min="1817" max="1821" width="0" style="5" hidden="1" customWidth="1"/>
    <col min="1822" max="1822" width="14.5703125" style="5" customWidth="1"/>
    <col min="1823" max="2055" width="9.140625" style="5"/>
    <col min="2056" max="2056" width="19.42578125" style="5" customWidth="1"/>
    <col min="2057" max="2057" width="14.42578125" style="5" customWidth="1"/>
    <col min="2058" max="2058" width="14.28515625" style="5" customWidth="1"/>
    <col min="2059" max="2059" width="15.85546875" style="5" customWidth="1"/>
    <col min="2060" max="2060" width="14.42578125" style="5" customWidth="1"/>
    <col min="2061" max="2061" width="17.140625" style="5" customWidth="1"/>
    <col min="2062" max="2062" width="17.7109375" style="5" customWidth="1"/>
    <col min="2063" max="2063" width="14.7109375" style="5" customWidth="1"/>
    <col min="2064" max="2064" width="14.85546875" style="5" customWidth="1"/>
    <col min="2065" max="2065" width="23.42578125" style="5" customWidth="1"/>
    <col min="2066" max="2066" width="0.140625" style="5" customWidth="1"/>
    <col min="2067" max="2067" width="28.42578125" style="5" customWidth="1"/>
    <col min="2068" max="2068" width="12" style="5" customWidth="1"/>
    <col min="2069" max="2069" width="6.140625" style="5" customWidth="1"/>
    <col min="2070" max="2070" width="26.85546875" style="5" customWidth="1"/>
    <col min="2071" max="2071" width="10.28515625" style="5" customWidth="1"/>
    <col min="2072" max="2072" width="8.7109375" style="5" customWidth="1"/>
    <col min="2073" max="2077" width="0" style="5" hidden="1" customWidth="1"/>
    <col min="2078" max="2078" width="14.5703125" style="5" customWidth="1"/>
    <col min="2079" max="2311" width="9.140625" style="5"/>
    <col min="2312" max="2312" width="19.42578125" style="5" customWidth="1"/>
    <col min="2313" max="2313" width="14.42578125" style="5" customWidth="1"/>
    <col min="2314" max="2314" width="14.28515625" style="5" customWidth="1"/>
    <col min="2315" max="2315" width="15.85546875" style="5" customWidth="1"/>
    <col min="2316" max="2316" width="14.42578125" style="5" customWidth="1"/>
    <col min="2317" max="2317" width="17.140625" style="5" customWidth="1"/>
    <col min="2318" max="2318" width="17.7109375" style="5" customWidth="1"/>
    <col min="2319" max="2319" width="14.7109375" style="5" customWidth="1"/>
    <col min="2320" max="2320" width="14.85546875" style="5" customWidth="1"/>
    <col min="2321" max="2321" width="23.42578125" style="5" customWidth="1"/>
    <col min="2322" max="2322" width="0.140625" style="5" customWidth="1"/>
    <col min="2323" max="2323" width="28.42578125" style="5" customWidth="1"/>
    <col min="2324" max="2324" width="12" style="5" customWidth="1"/>
    <col min="2325" max="2325" width="6.140625" style="5" customWidth="1"/>
    <col min="2326" max="2326" width="26.85546875" style="5" customWidth="1"/>
    <col min="2327" max="2327" width="10.28515625" style="5" customWidth="1"/>
    <col min="2328" max="2328" width="8.7109375" style="5" customWidth="1"/>
    <col min="2329" max="2333" width="0" style="5" hidden="1" customWidth="1"/>
    <col min="2334" max="2334" width="14.5703125" style="5" customWidth="1"/>
    <col min="2335" max="2567" width="9.140625" style="5"/>
    <col min="2568" max="2568" width="19.42578125" style="5" customWidth="1"/>
    <col min="2569" max="2569" width="14.42578125" style="5" customWidth="1"/>
    <col min="2570" max="2570" width="14.28515625" style="5" customWidth="1"/>
    <col min="2571" max="2571" width="15.85546875" style="5" customWidth="1"/>
    <col min="2572" max="2572" width="14.42578125" style="5" customWidth="1"/>
    <col min="2573" max="2573" width="17.140625" style="5" customWidth="1"/>
    <col min="2574" max="2574" width="17.7109375" style="5" customWidth="1"/>
    <col min="2575" max="2575" width="14.7109375" style="5" customWidth="1"/>
    <col min="2576" max="2576" width="14.85546875" style="5" customWidth="1"/>
    <col min="2577" max="2577" width="23.42578125" style="5" customWidth="1"/>
    <col min="2578" max="2578" width="0.140625" style="5" customWidth="1"/>
    <col min="2579" max="2579" width="28.42578125" style="5" customWidth="1"/>
    <col min="2580" max="2580" width="12" style="5" customWidth="1"/>
    <col min="2581" max="2581" width="6.140625" style="5" customWidth="1"/>
    <col min="2582" max="2582" width="26.85546875" style="5" customWidth="1"/>
    <col min="2583" max="2583" width="10.28515625" style="5" customWidth="1"/>
    <col min="2584" max="2584" width="8.7109375" style="5" customWidth="1"/>
    <col min="2585" max="2589" width="0" style="5" hidden="1" customWidth="1"/>
    <col min="2590" max="2590" width="14.5703125" style="5" customWidth="1"/>
    <col min="2591" max="2823" width="9.140625" style="5"/>
    <col min="2824" max="2824" width="19.42578125" style="5" customWidth="1"/>
    <col min="2825" max="2825" width="14.42578125" style="5" customWidth="1"/>
    <col min="2826" max="2826" width="14.28515625" style="5" customWidth="1"/>
    <col min="2827" max="2827" width="15.85546875" style="5" customWidth="1"/>
    <col min="2828" max="2828" width="14.42578125" style="5" customWidth="1"/>
    <col min="2829" max="2829" width="17.140625" style="5" customWidth="1"/>
    <col min="2830" max="2830" width="17.7109375" style="5" customWidth="1"/>
    <col min="2831" max="2831" width="14.7109375" style="5" customWidth="1"/>
    <col min="2832" max="2832" width="14.85546875" style="5" customWidth="1"/>
    <col min="2833" max="2833" width="23.42578125" style="5" customWidth="1"/>
    <col min="2834" max="2834" width="0.140625" style="5" customWidth="1"/>
    <col min="2835" max="2835" width="28.42578125" style="5" customWidth="1"/>
    <col min="2836" max="2836" width="12" style="5" customWidth="1"/>
    <col min="2837" max="2837" width="6.140625" style="5" customWidth="1"/>
    <col min="2838" max="2838" width="26.85546875" style="5" customWidth="1"/>
    <col min="2839" max="2839" width="10.28515625" style="5" customWidth="1"/>
    <col min="2840" max="2840" width="8.7109375" style="5" customWidth="1"/>
    <col min="2841" max="2845" width="0" style="5" hidden="1" customWidth="1"/>
    <col min="2846" max="2846" width="14.5703125" style="5" customWidth="1"/>
    <col min="2847" max="3079" width="9.140625" style="5"/>
    <col min="3080" max="3080" width="19.42578125" style="5" customWidth="1"/>
    <col min="3081" max="3081" width="14.42578125" style="5" customWidth="1"/>
    <col min="3082" max="3082" width="14.28515625" style="5" customWidth="1"/>
    <col min="3083" max="3083" width="15.85546875" style="5" customWidth="1"/>
    <col min="3084" max="3084" width="14.42578125" style="5" customWidth="1"/>
    <col min="3085" max="3085" width="17.140625" style="5" customWidth="1"/>
    <col min="3086" max="3086" width="17.7109375" style="5" customWidth="1"/>
    <col min="3087" max="3087" width="14.7109375" style="5" customWidth="1"/>
    <col min="3088" max="3088" width="14.85546875" style="5" customWidth="1"/>
    <col min="3089" max="3089" width="23.42578125" style="5" customWidth="1"/>
    <col min="3090" max="3090" width="0.140625" style="5" customWidth="1"/>
    <col min="3091" max="3091" width="28.42578125" style="5" customWidth="1"/>
    <col min="3092" max="3092" width="12" style="5" customWidth="1"/>
    <col min="3093" max="3093" width="6.140625" style="5" customWidth="1"/>
    <col min="3094" max="3094" width="26.85546875" style="5" customWidth="1"/>
    <col min="3095" max="3095" width="10.28515625" style="5" customWidth="1"/>
    <col min="3096" max="3096" width="8.7109375" style="5" customWidth="1"/>
    <col min="3097" max="3101" width="0" style="5" hidden="1" customWidth="1"/>
    <col min="3102" max="3102" width="14.5703125" style="5" customWidth="1"/>
    <col min="3103" max="3335" width="9.140625" style="5"/>
    <col min="3336" max="3336" width="19.42578125" style="5" customWidth="1"/>
    <col min="3337" max="3337" width="14.42578125" style="5" customWidth="1"/>
    <col min="3338" max="3338" width="14.28515625" style="5" customWidth="1"/>
    <col min="3339" max="3339" width="15.85546875" style="5" customWidth="1"/>
    <col min="3340" max="3340" width="14.42578125" style="5" customWidth="1"/>
    <col min="3341" max="3341" width="17.140625" style="5" customWidth="1"/>
    <col min="3342" max="3342" width="17.7109375" style="5" customWidth="1"/>
    <col min="3343" max="3343" width="14.7109375" style="5" customWidth="1"/>
    <col min="3344" max="3344" width="14.85546875" style="5" customWidth="1"/>
    <col min="3345" max="3345" width="23.42578125" style="5" customWidth="1"/>
    <col min="3346" max="3346" width="0.140625" style="5" customWidth="1"/>
    <col min="3347" max="3347" width="28.42578125" style="5" customWidth="1"/>
    <col min="3348" max="3348" width="12" style="5" customWidth="1"/>
    <col min="3349" max="3349" width="6.140625" style="5" customWidth="1"/>
    <col min="3350" max="3350" width="26.85546875" style="5" customWidth="1"/>
    <col min="3351" max="3351" width="10.28515625" style="5" customWidth="1"/>
    <col min="3352" max="3352" width="8.7109375" style="5" customWidth="1"/>
    <col min="3353" max="3357" width="0" style="5" hidden="1" customWidth="1"/>
    <col min="3358" max="3358" width="14.5703125" style="5" customWidth="1"/>
    <col min="3359" max="3591" width="9.140625" style="5"/>
    <col min="3592" max="3592" width="19.42578125" style="5" customWidth="1"/>
    <col min="3593" max="3593" width="14.42578125" style="5" customWidth="1"/>
    <col min="3594" max="3594" width="14.28515625" style="5" customWidth="1"/>
    <col min="3595" max="3595" width="15.85546875" style="5" customWidth="1"/>
    <col min="3596" max="3596" width="14.42578125" style="5" customWidth="1"/>
    <col min="3597" max="3597" width="17.140625" style="5" customWidth="1"/>
    <col min="3598" max="3598" width="17.7109375" style="5" customWidth="1"/>
    <col min="3599" max="3599" width="14.7109375" style="5" customWidth="1"/>
    <col min="3600" max="3600" width="14.85546875" style="5" customWidth="1"/>
    <col min="3601" max="3601" width="23.42578125" style="5" customWidth="1"/>
    <col min="3602" max="3602" width="0.140625" style="5" customWidth="1"/>
    <col min="3603" max="3603" width="28.42578125" style="5" customWidth="1"/>
    <col min="3604" max="3604" width="12" style="5" customWidth="1"/>
    <col min="3605" max="3605" width="6.140625" style="5" customWidth="1"/>
    <col min="3606" max="3606" width="26.85546875" style="5" customWidth="1"/>
    <col min="3607" max="3607" width="10.28515625" style="5" customWidth="1"/>
    <col min="3608" max="3608" width="8.7109375" style="5" customWidth="1"/>
    <col min="3609" max="3613" width="0" style="5" hidden="1" customWidth="1"/>
    <col min="3614" max="3614" width="14.5703125" style="5" customWidth="1"/>
    <col min="3615" max="3847" width="9.140625" style="5"/>
    <col min="3848" max="3848" width="19.42578125" style="5" customWidth="1"/>
    <col min="3849" max="3849" width="14.42578125" style="5" customWidth="1"/>
    <col min="3850" max="3850" width="14.28515625" style="5" customWidth="1"/>
    <col min="3851" max="3851" width="15.85546875" style="5" customWidth="1"/>
    <col min="3852" max="3852" width="14.42578125" style="5" customWidth="1"/>
    <col min="3853" max="3853" width="17.140625" style="5" customWidth="1"/>
    <col min="3854" max="3854" width="17.7109375" style="5" customWidth="1"/>
    <col min="3855" max="3855" width="14.7109375" style="5" customWidth="1"/>
    <col min="3856" max="3856" width="14.85546875" style="5" customWidth="1"/>
    <col min="3857" max="3857" width="23.42578125" style="5" customWidth="1"/>
    <col min="3858" max="3858" width="0.140625" style="5" customWidth="1"/>
    <col min="3859" max="3859" width="28.42578125" style="5" customWidth="1"/>
    <col min="3860" max="3860" width="12" style="5" customWidth="1"/>
    <col min="3861" max="3861" width="6.140625" style="5" customWidth="1"/>
    <col min="3862" max="3862" width="26.85546875" style="5" customWidth="1"/>
    <col min="3863" max="3863" width="10.28515625" style="5" customWidth="1"/>
    <col min="3864" max="3864" width="8.7109375" style="5" customWidth="1"/>
    <col min="3865" max="3869" width="0" style="5" hidden="1" customWidth="1"/>
    <col min="3870" max="3870" width="14.5703125" style="5" customWidth="1"/>
    <col min="3871" max="4103" width="9.140625" style="5"/>
    <col min="4104" max="4104" width="19.42578125" style="5" customWidth="1"/>
    <col min="4105" max="4105" width="14.42578125" style="5" customWidth="1"/>
    <col min="4106" max="4106" width="14.28515625" style="5" customWidth="1"/>
    <col min="4107" max="4107" width="15.85546875" style="5" customWidth="1"/>
    <col min="4108" max="4108" width="14.42578125" style="5" customWidth="1"/>
    <col min="4109" max="4109" width="17.140625" style="5" customWidth="1"/>
    <col min="4110" max="4110" width="17.7109375" style="5" customWidth="1"/>
    <col min="4111" max="4111" width="14.7109375" style="5" customWidth="1"/>
    <col min="4112" max="4112" width="14.85546875" style="5" customWidth="1"/>
    <col min="4113" max="4113" width="23.42578125" style="5" customWidth="1"/>
    <col min="4114" max="4114" width="0.140625" style="5" customWidth="1"/>
    <col min="4115" max="4115" width="28.42578125" style="5" customWidth="1"/>
    <col min="4116" max="4116" width="12" style="5" customWidth="1"/>
    <col min="4117" max="4117" width="6.140625" style="5" customWidth="1"/>
    <col min="4118" max="4118" width="26.85546875" style="5" customWidth="1"/>
    <col min="4119" max="4119" width="10.28515625" style="5" customWidth="1"/>
    <col min="4120" max="4120" width="8.7109375" style="5" customWidth="1"/>
    <col min="4121" max="4125" width="0" style="5" hidden="1" customWidth="1"/>
    <col min="4126" max="4126" width="14.5703125" style="5" customWidth="1"/>
    <col min="4127" max="4359" width="9.140625" style="5"/>
    <col min="4360" max="4360" width="19.42578125" style="5" customWidth="1"/>
    <col min="4361" max="4361" width="14.42578125" style="5" customWidth="1"/>
    <col min="4362" max="4362" width="14.28515625" style="5" customWidth="1"/>
    <col min="4363" max="4363" width="15.85546875" style="5" customWidth="1"/>
    <col min="4364" max="4364" width="14.42578125" style="5" customWidth="1"/>
    <col min="4365" max="4365" width="17.140625" style="5" customWidth="1"/>
    <col min="4366" max="4366" width="17.7109375" style="5" customWidth="1"/>
    <col min="4367" max="4367" width="14.7109375" style="5" customWidth="1"/>
    <col min="4368" max="4368" width="14.85546875" style="5" customWidth="1"/>
    <col min="4369" max="4369" width="23.42578125" style="5" customWidth="1"/>
    <col min="4370" max="4370" width="0.140625" style="5" customWidth="1"/>
    <col min="4371" max="4371" width="28.42578125" style="5" customWidth="1"/>
    <col min="4372" max="4372" width="12" style="5" customWidth="1"/>
    <col min="4373" max="4373" width="6.140625" style="5" customWidth="1"/>
    <col min="4374" max="4374" width="26.85546875" style="5" customWidth="1"/>
    <col min="4375" max="4375" width="10.28515625" style="5" customWidth="1"/>
    <col min="4376" max="4376" width="8.7109375" style="5" customWidth="1"/>
    <col min="4377" max="4381" width="0" style="5" hidden="1" customWidth="1"/>
    <col min="4382" max="4382" width="14.5703125" style="5" customWidth="1"/>
    <col min="4383" max="4615" width="9.140625" style="5"/>
    <col min="4616" max="4616" width="19.42578125" style="5" customWidth="1"/>
    <col min="4617" max="4617" width="14.42578125" style="5" customWidth="1"/>
    <col min="4618" max="4618" width="14.28515625" style="5" customWidth="1"/>
    <col min="4619" max="4619" width="15.85546875" style="5" customWidth="1"/>
    <col min="4620" max="4620" width="14.42578125" style="5" customWidth="1"/>
    <col min="4621" max="4621" width="17.140625" style="5" customWidth="1"/>
    <col min="4622" max="4622" width="17.7109375" style="5" customWidth="1"/>
    <col min="4623" max="4623" width="14.7109375" style="5" customWidth="1"/>
    <col min="4624" max="4624" width="14.85546875" style="5" customWidth="1"/>
    <col min="4625" max="4625" width="23.42578125" style="5" customWidth="1"/>
    <col min="4626" max="4626" width="0.140625" style="5" customWidth="1"/>
    <col min="4627" max="4627" width="28.42578125" style="5" customWidth="1"/>
    <col min="4628" max="4628" width="12" style="5" customWidth="1"/>
    <col min="4629" max="4629" width="6.140625" style="5" customWidth="1"/>
    <col min="4630" max="4630" width="26.85546875" style="5" customWidth="1"/>
    <col min="4631" max="4631" width="10.28515625" style="5" customWidth="1"/>
    <col min="4632" max="4632" width="8.7109375" style="5" customWidth="1"/>
    <col min="4633" max="4637" width="0" style="5" hidden="1" customWidth="1"/>
    <col min="4638" max="4638" width="14.5703125" style="5" customWidth="1"/>
    <col min="4639" max="4871" width="9.140625" style="5"/>
    <col min="4872" max="4872" width="19.42578125" style="5" customWidth="1"/>
    <col min="4873" max="4873" width="14.42578125" style="5" customWidth="1"/>
    <col min="4874" max="4874" width="14.28515625" style="5" customWidth="1"/>
    <col min="4875" max="4875" width="15.85546875" style="5" customWidth="1"/>
    <col min="4876" max="4876" width="14.42578125" style="5" customWidth="1"/>
    <col min="4877" max="4877" width="17.140625" style="5" customWidth="1"/>
    <col min="4878" max="4878" width="17.7109375" style="5" customWidth="1"/>
    <col min="4879" max="4879" width="14.7109375" style="5" customWidth="1"/>
    <col min="4880" max="4880" width="14.85546875" style="5" customWidth="1"/>
    <col min="4881" max="4881" width="23.42578125" style="5" customWidth="1"/>
    <col min="4882" max="4882" width="0.140625" style="5" customWidth="1"/>
    <col min="4883" max="4883" width="28.42578125" style="5" customWidth="1"/>
    <col min="4884" max="4884" width="12" style="5" customWidth="1"/>
    <col min="4885" max="4885" width="6.140625" style="5" customWidth="1"/>
    <col min="4886" max="4886" width="26.85546875" style="5" customWidth="1"/>
    <col min="4887" max="4887" width="10.28515625" style="5" customWidth="1"/>
    <col min="4888" max="4888" width="8.7109375" style="5" customWidth="1"/>
    <col min="4889" max="4893" width="0" style="5" hidden="1" customWidth="1"/>
    <col min="4894" max="4894" width="14.5703125" style="5" customWidth="1"/>
    <col min="4895" max="5127" width="9.140625" style="5"/>
    <col min="5128" max="5128" width="19.42578125" style="5" customWidth="1"/>
    <col min="5129" max="5129" width="14.42578125" style="5" customWidth="1"/>
    <col min="5130" max="5130" width="14.28515625" style="5" customWidth="1"/>
    <col min="5131" max="5131" width="15.85546875" style="5" customWidth="1"/>
    <col min="5132" max="5132" width="14.42578125" style="5" customWidth="1"/>
    <col min="5133" max="5133" width="17.140625" style="5" customWidth="1"/>
    <col min="5134" max="5134" width="17.7109375" style="5" customWidth="1"/>
    <col min="5135" max="5135" width="14.7109375" style="5" customWidth="1"/>
    <col min="5136" max="5136" width="14.85546875" style="5" customWidth="1"/>
    <col min="5137" max="5137" width="23.42578125" style="5" customWidth="1"/>
    <col min="5138" max="5138" width="0.140625" style="5" customWidth="1"/>
    <col min="5139" max="5139" width="28.42578125" style="5" customWidth="1"/>
    <col min="5140" max="5140" width="12" style="5" customWidth="1"/>
    <col min="5141" max="5141" width="6.140625" style="5" customWidth="1"/>
    <col min="5142" max="5142" width="26.85546875" style="5" customWidth="1"/>
    <col min="5143" max="5143" width="10.28515625" style="5" customWidth="1"/>
    <col min="5144" max="5144" width="8.7109375" style="5" customWidth="1"/>
    <col min="5145" max="5149" width="0" style="5" hidden="1" customWidth="1"/>
    <col min="5150" max="5150" width="14.5703125" style="5" customWidth="1"/>
    <col min="5151" max="5383" width="9.140625" style="5"/>
    <col min="5384" max="5384" width="19.42578125" style="5" customWidth="1"/>
    <col min="5385" max="5385" width="14.42578125" style="5" customWidth="1"/>
    <col min="5386" max="5386" width="14.28515625" style="5" customWidth="1"/>
    <col min="5387" max="5387" width="15.85546875" style="5" customWidth="1"/>
    <col min="5388" max="5388" width="14.42578125" style="5" customWidth="1"/>
    <col min="5389" max="5389" width="17.140625" style="5" customWidth="1"/>
    <col min="5390" max="5390" width="17.7109375" style="5" customWidth="1"/>
    <col min="5391" max="5391" width="14.7109375" style="5" customWidth="1"/>
    <col min="5392" max="5392" width="14.85546875" style="5" customWidth="1"/>
    <col min="5393" max="5393" width="23.42578125" style="5" customWidth="1"/>
    <col min="5394" max="5394" width="0.140625" style="5" customWidth="1"/>
    <col min="5395" max="5395" width="28.42578125" style="5" customWidth="1"/>
    <col min="5396" max="5396" width="12" style="5" customWidth="1"/>
    <col min="5397" max="5397" width="6.140625" style="5" customWidth="1"/>
    <col min="5398" max="5398" width="26.85546875" style="5" customWidth="1"/>
    <col min="5399" max="5399" width="10.28515625" style="5" customWidth="1"/>
    <col min="5400" max="5400" width="8.7109375" style="5" customWidth="1"/>
    <col min="5401" max="5405" width="0" style="5" hidden="1" customWidth="1"/>
    <col min="5406" max="5406" width="14.5703125" style="5" customWidth="1"/>
    <col min="5407" max="5639" width="9.140625" style="5"/>
    <col min="5640" max="5640" width="19.42578125" style="5" customWidth="1"/>
    <col min="5641" max="5641" width="14.42578125" style="5" customWidth="1"/>
    <col min="5642" max="5642" width="14.28515625" style="5" customWidth="1"/>
    <col min="5643" max="5643" width="15.85546875" style="5" customWidth="1"/>
    <col min="5644" max="5644" width="14.42578125" style="5" customWidth="1"/>
    <col min="5645" max="5645" width="17.140625" style="5" customWidth="1"/>
    <col min="5646" max="5646" width="17.7109375" style="5" customWidth="1"/>
    <col min="5647" max="5647" width="14.7109375" style="5" customWidth="1"/>
    <col min="5648" max="5648" width="14.85546875" style="5" customWidth="1"/>
    <col min="5649" max="5649" width="23.42578125" style="5" customWidth="1"/>
    <col min="5650" max="5650" width="0.140625" style="5" customWidth="1"/>
    <col min="5651" max="5651" width="28.42578125" style="5" customWidth="1"/>
    <col min="5652" max="5652" width="12" style="5" customWidth="1"/>
    <col min="5653" max="5653" width="6.140625" style="5" customWidth="1"/>
    <col min="5654" max="5654" width="26.85546875" style="5" customWidth="1"/>
    <col min="5655" max="5655" width="10.28515625" style="5" customWidth="1"/>
    <col min="5656" max="5656" width="8.7109375" style="5" customWidth="1"/>
    <col min="5657" max="5661" width="0" style="5" hidden="1" customWidth="1"/>
    <col min="5662" max="5662" width="14.5703125" style="5" customWidth="1"/>
    <col min="5663" max="5895" width="9.140625" style="5"/>
    <col min="5896" max="5896" width="19.42578125" style="5" customWidth="1"/>
    <col min="5897" max="5897" width="14.42578125" style="5" customWidth="1"/>
    <col min="5898" max="5898" width="14.28515625" style="5" customWidth="1"/>
    <col min="5899" max="5899" width="15.85546875" style="5" customWidth="1"/>
    <col min="5900" max="5900" width="14.42578125" style="5" customWidth="1"/>
    <col min="5901" max="5901" width="17.140625" style="5" customWidth="1"/>
    <col min="5902" max="5902" width="17.7109375" style="5" customWidth="1"/>
    <col min="5903" max="5903" width="14.7109375" style="5" customWidth="1"/>
    <col min="5904" max="5904" width="14.85546875" style="5" customWidth="1"/>
    <col min="5905" max="5905" width="23.42578125" style="5" customWidth="1"/>
    <col min="5906" max="5906" width="0.140625" style="5" customWidth="1"/>
    <col min="5907" max="5907" width="28.42578125" style="5" customWidth="1"/>
    <col min="5908" max="5908" width="12" style="5" customWidth="1"/>
    <col min="5909" max="5909" width="6.140625" style="5" customWidth="1"/>
    <col min="5910" max="5910" width="26.85546875" style="5" customWidth="1"/>
    <col min="5911" max="5911" width="10.28515625" style="5" customWidth="1"/>
    <col min="5912" max="5912" width="8.7109375" style="5" customWidth="1"/>
    <col min="5913" max="5917" width="0" style="5" hidden="1" customWidth="1"/>
    <col min="5918" max="5918" width="14.5703125" style="5" customWidth="1"/>
    <col min="5919" max="6151" width="9.140625" style="5"/>
    <col min="6152" max="6152" width="19.42578125" style="5" customWidth="1"/>
    <col min="6153" max="6153" width="14.42578125" style="5" customWidth="1"/>
    <col min="6154" max="6154" width="14.28515625" style="5" customWidth="1"/>
    <col min="6155" max="6155" width="15.85546875" style="5" customWidth="1"/>
    <col min="6156" max="6156" width="14.42578125" style="5" customWidth="1"/>
    <col min="6157" max="6157" width="17.140625" style="5" customWidth="1"/>
    <col min="6158" max="6158" width="17.7109375" style="5" customWidth="1"/>
    <col min="6159" max="6159" width="14.7109375" style="5" customWidth="1"/>
    <col min="6160" max="6160" width="14.85546875" style="5" customWidth="1"/>
    <col min="6161" max="6161" width="23.42578125" style="5" customWidth="1"/>
    <col min="6162" max="6162" width="0.140625" style="5" customWidth="1"/>
    <col min="6163" max="6163" width="28.42578125" style="5" customWidth="1"/>
    <col min="6164" max="6164" width="12" style="5" customWidth="1"/>
    <col min="6165" max="6165" width="6.140625" style="5" customWidth="1"/>
    <col min="6166" max="6166" width="26.85546875" style="5" customWidth="1"/>
    <col min="6167" max="6167" width="10.28515625" style="5" customWidth="1"/>
    <col min="6168" max="6168" width="8.7109375" style="5" customWidth="1"/>
    <col min="6169" max="6173" width="0" style="5" hidden="1" customWidth="1"/>
    <col min="6174" max="6174" width="14.5703125" style="5" customWidth="1"/>
    <col min="6175" max="6407" width="9.140625" style="5"/>
    <col min="6408" max="6408" width="19.42578125" style="5" customWidth="1"/>
    <col min="6409" max="6409" width="14.42578125" style="5" customWidth="1"/>
    <col min="6410" max="6410" width="14.28515625" style="5" customWidth="1"/>
    <col min="6411" max="6411" width="15.85546875" style="5" customWidth="1"/>
    <col min="6412" max="6412" width="14.42578125" style="5" customWidth="1"/>
    <col min="6413" max="6413" width="17.140625" style="5" customWidth="1"/>
    <col min="6414" max="6414" width="17.7109375" style="5" customWidth="1"/>
    <col min="6415" max="6415" width="14.7109375" style="5" customWidth="1"/>
    <col min="6416" max="6416" width="14.85546875" style="5" customWidth="1"/>
    <col min="6417" max="6417" width="23.42578125" style="5" customWidth="1"/>
    <col min="6418" max="6418" width="0.140625" style="5" customWidth="1"/>
    <col min="6419" max="6419" width="28.42578125" style="5" customWidth="1"/>
    <col min="6420" max="6420" width="12" style="5" customWidth="1"/>
    <col min="6421" max="6421" width="6.140625" style="5" customWidth="1"/>
    <col min="6422" max="6422" width="26.85546875" style="5" customWidth="1"/>
    <col min="6423" max="6423" width="10.28515625" style="5" customWidth="1"/>
    <col min="6424" max="6424" width="8.7109375" style="5" customWidth="1"/>
    <col min="6425" max="6429" width="0" style="5" hidden="1" customWidth="1"/>
    <col min="6430" max="6430" width="14.5703125" style="5" customWidth="1"/>
    <col min="6431" max="6663" width="9.140625" style="5"/>
    <col min="6664" max="6664" width="19.42578125" style="5" customWidth="1"/>
    <col min="6665" max="6665" width="14.42578125" style="5" customWidth="1"/>
    <col min="6666" max="6666" width="14.28515625" style="5" customWidth="1"/>
    <col min="6667" max="6667" width="15.85546875" style="5" customWidth="1"/>
    <col min="6668" max="6668" width="14.42578125" style="5" customWidth="1"/>
    <col min="6669" max="6669" width="17.140625" style="5" customWidth="1"/>
    <col min="6670" max="6670" width="17.7109375" style="5" customWidth="1"/>
    <col min="6671" max="6671" width="14.7109375" style="5" customWidth="1"/>
    <col min="6672" max="6672" width="14.85546875" style="5" customWidth="1"/>
    <col min="6673" max="6673" width="23.42578125" style="5" customWidth="1"/>
    <col min="6674" max="6674" width="0.140625" style="5" customWidth="1"/>
    <col min="6675" max="6675" width="28.42578125" style="5" customWidth="1"/>
    <col min="6676" max="6676" width="12" style="5" customWidth="1"/>
    <col min="6677" max="6677" width="6.140625" style="5" customWidth="1"/>
    <col min="6678" max="6678" width="26.85546875" style="5" customWidth="1"/>
    <col min="6679" max="6679" width="10.28515625" style="5" customWidth="1"/>
    <col min="6680" max="6680" width="8.7109375" style="5" customWidth="1"/>
    <col min="6681" max="6685" width="0" style="5" hidden="1" customWidth="1"/>
    <col min="6686" max="6686" width="14.5703125" style="5" customWidth="1"/>
    <col min="6687" max="6919" width="9.140625" style="5"/>
    <col min="6920" max="6920" width="19.42578125" style="5" customWidth="1"/>
    <col min="6921" max="6921" width="14.42578125" style="5" customWidth="1"/>
    <col min="6922" max="6922" width="14.28515625" style="5" customWidth="1"/>
    <col min="6923" max="6923" width="15.85546875" style="5" customWidth="1"/>
    <col min="6924" max="6924" width="14.42578125" style="5" customWidth="1"/>
    <col min="6925" max="6925" width="17.140625" style="5" customWidth="1"/>
    <col min="6926" max="6926" width="17.7109375" style="5" customWidth="1"/>
    <col min="6927" max="6927" width="14.7109375" style="5" customWidth="1"/>
    <col min="6928" max="6928" width="14.85546875" style="5" customWidth="1"/>
    <col min="6929" max="6929" width="23.42578125" style="5" customWidth="1"/>
    <col min="6930" max="6930" width="0.140625" style="5" customWidth="1"/>
    <col min="6931" max="6931" width="28.42578125" style="5" customWidth="1"/>
    <col min="6932" max="6932" width="12" style="5" customWidth="1"/>
    <col min="6933" max="6933" width="6.140625" style="5" customWidth="1"/>
    <col min="6934" max="6934" width="26.85546875" style="5" customWidth="1"/>
    <col min="6935" max="6935" width="10.28515625" style="5" customWidth="1"/>
    <col min="6936" max="6936" width="8.7109375" style="5" customWidth="1"/>
    <col min="6937" max="6941" width="0" style="5" hidden="1" customWidth="1"/>
    <col min="6942" max="6942" width="14.5703125" style="5" customWidth="1"/>
    <col min="6943" max="7175" width="9.140625" style="5"/>
    <col min="7176" max="7176" width="19.42578125" style="5" customWidth="1"/>
    <col min="7177" max="7177" width="14.42578125" style="5" customWidth="1"/>
    <col min="7178" max="7178" width="14.28515625" style="5" customWidth="1"/>
    <col min="7179" max="7179" width="15.85546875" style="5" customWidth="1"/>
    <col min="7180" max="7180" width="14.42578125" style="5" customWidth="1"/>
    <col min="7181" max="7181" width="17.140625" style="5" customWidth="1"/>
    <col min="7182" max="7182" width="17.7109375" style="5" customWidth="1"/>
    <col min="7183" max="7183" width="14.7109375" style="5" customWidth="1"/>
    <col min="7184" max="7184" width="14.85546875" style="5" customWidth="1"/>
    <col min="7185" max="7185" width="23.42578125" style="5" customWidth="1"/>
    <col min="7186" max="7186" width="0.140625" style="5" customWidth="1"/>
    <col min="7187" max="7187" width="28.42578125" style="5" customWidth="1"/>
    <col min="7188" max="7188" width="12" style="5" customWidth="1"/>
    <col min="7189" max="7189" width="6.140625" style="5" customWidth="1"/>
    <col min="7190" max="7190" width="26.85546875" style="5" customWidth="1"/>
    <col min="7191" max="7191" width="10.28515625" style="5" customWidth="1"/>
    <col min="7192" max="7192" width="8.7109375" style="5" customWidth="1"/>
    <col min="7193" max="7197" width="0" style="5" hidden="1" customWidth="1"/>
    <col min="7198" max="7198" width="14.5703125" style="5" customWidth="1"/>
    <col min="7199" max="7431" width="9.140625" style="5"/>
    <col min="7432" max="7432" width="19.42578125" style="5" customWidth="1"/>
    <col min="7433" max="7433" width="14.42578125" style="5" customWidth="1"/>
    <col min="7434" max="7434" width="14.28515625" style="5" customWidth="1"/>
    <col min="7435" max="7435" width="15.85546875" style="5" customWidth="1"/>
    <col min="7436" max="7436" width="14.42578125" style="5" customWidth="1"/>
    <col min="7437" max="7437" width="17.140625" style="5" customWidth="1"/>
    <col min="7438" max="7438" width="17.7109375" style="5" customWidth="1"/>
    <col min="7439" max="7439" width="14.7109375" style="5" customWidth="1"/>
    <col min="7440" max="7440" width="14.85546875" style="5" customWidth="1"/>
    <col min="7441" max="7441" width="23.42578125" style="5" customWidth="1"/>
    <col min="7442" max="7442" width="0.140625" style="5" customWidth="1"/>
    <col min="7443" max="7443" width="28.42578125" style="5" customWidth="1"/>
    <col min="7444" max="7444" width="12" style="5" customWidth="1"/>
    <col min="7445" max="7445" width="6.140625" style="5" customWidth="1"/>
    <col min="7446" max="7446" width="26.85546875" style="5" customWidth="1"/>
    <col min="7447" max="7447" width="10.28515625" style="5" customWidth="1"/>
    <col min="7448" max="7448" width="8.7109375" style="5" customWidth="1"/>
    <col min="7449" max="7453" width="0" style="5" hidden="1" customWidth="1"/>
    <col min="7454" max="7454" width="14.5703125" style="5" customWidth="1"/>
    <col min="7455" max="7687" width="9.140625" style="5"/>
    <col min="7688" max="7688" width="19.42578125" style="5" customWidth="1"/>
    <col min="7689" max="7689" width="14.42578125" style="5" customWidth="1"/>
    <col min="7690" max="7690" width="14.28515625" style="5" customWidth="1"/>
    <col min="7691" max="7691" width="15.85546875" style="5" customWidth="1"/>
    <col min="7692" max="7692" width="14.42578125" style="5" customWidth="1"/>
    <col min="7693" max="7693" width="17.140625" style="5" customWidth="1"/>
    <col min="7694" max="7694" width="17.7109375" style="5" customWidth="1"/>
    <col min="7695" max="7695" width="14.7109375" style="5" customWidth="1"/>
    <col min="7696" max="7696" width="14.85546875" style="5" customWidth="1"/>
    <col min="7697" max="7697" width="23.42578125" style="5" customWidth="1"/>
    <col min="7698" max="7698" width="0.140625" style="5" customWidth="1"/>
    <col min="7699" max="7699" width="28.42578125" style="5" customWidth="1"/>
    <col min="7700" max="7700" width="12" style="5" customWidth="1"/>
    <col min="7701" max="7701" width="6.140625" style="5" customWidth="1"/>
    <col min="7702" max="7702" width="26.85546875" style="5" customWidth="1"/>
    <col min="7703" max="7703" width="10.28515625" style="5" customWidth="1"/>
    <col min="7704" max="7704" width="8.7109375" style="5" customWidth="1"/>
    <col min="7705" max="7709" width="0" style="5" hidden="1" customWidth="1"/>
    <col min="7710" max="7710" width="14.5703125" style="5" customWidth="1"/>
    <col min="7711" max="7943" width="9.140625" style="5"/>
    <col min="7944" max="7944" width="19.42578125" style="5" customWidth="1"/>
    <col min="7945" max="7945" width="14.42578125" style="5" customWidth="1"/>
    <col min="7946" max="7946" width="14.28515625" style="5" customWidth="1"/>
    <col min="7947" max="7947" width="15.85546875" style="5" customWidth="1"/>
    <col min="7948" max="7948" width="14.42578125" style="5" customWidth="1"/>
    <col min="7949" max="7949" width="17.140625" style="5" customWidth="1"/>
    <col min="7950" max="7950" width="17.7109375" style="5" customWidth="1"/>
    <col min="7951" max="7951" width="14.7109375" style="5" customWidth="1"/>
    <col min="7952" max="7952" width="14.85546875" style="5" customWidth="1"/>
    <col min="7953" max="7953" width="23.42578125" style="5" customWidth="1"/>
    <col min="7954" max="7954" width="0.140625" style="5" customWidth="1"/>
    <col min="7955" max="7955" width="28.42578125" style="5" customWidth="1"/>
    <col min="7956" max="7956" width="12" style="5" customWidth="1"/>
    <col min="7957" max="7957" width="6.140625" style="5" customWidth="1"/>
    <col min="7958" max="7958" width="26.85546875" style="5" customWidth="1"/>
    <col min="7959" max="7959" width="10.28515625" style="5" customWidth="1"/>
    <col min="7960" max="7960" width="8.7109375" style="5" customWidth="1"/>
    <col min="7961" max="7965" width="0" style="5" hidden="1" customWidth="1"/>
    <col min="7966" max="7966" width="14.5703125" style="5" customWidth="1"/>
    <col min="7967" max="8199" width="9.140625" style="5"/>
    <col min="8200" max="8200" width="19.42578125" style="5" customWidth="1"/>
    <col min="8201" max="8201" width="14.42578125" style="5" customWidth="1"/>
    <col min="8202" max="8202" width="14.28515625" style="5" customWidth="1"/>
    <col min="8203" max="8203" width="15.85546875" style="5" customWidth="1"/>
    <col min="8204" max="8204" width="14.42578125" style="5" customWidth="1"/>
    <col min="8205" max="8205" width="17.140625" style="5" customWidth="1"/>
    <col min="8206" max="8206" width="17.7109375" style="5" customWidth="1"/>
    <col min="8207" max="8207" width="14.7109375" style="5" customWidth="1"/>
    <col min="8208" max="8208" width="14.85546875" style="5" customWidth="1"/>
    <col min="8209" max="8209" width="23.42578125" style="5" customWidth="1"/>
    <col min="8210" max="8210" width="0.140625" style="5" customWidth="1"/>
    <col min="8211" max="8211" width="28.42578125" style="5" customWidth="1"/>
    <col min="8212" max="8212" width="12" style="5" customWidth="1"/>
    <col min="8213" max="8213" width="6.140625" style="5" customWidth="1"/>
    <col min="8214" max="8214" width="26.85546875" style="5" customWidth="1"/>
    <col min="8215" max="8215" width="10.28515625" style="5" customWidth="1"/>
    <col min="8216" max="8216" width="8.7109375" style="5" customWidth="1"/>
    <col min="8217" max="8221" width="0" style="5" hidden="1" customWidth="1"/>
    <col min="8222" max="8222" width="14.5703125" style="5" customWidth="1"/>
    <col min="8223" max="8455" width="9.140625" style="5"/>
    <col min="8456" max="8456" width="19.42578125" style="5" customWidth="1"/>
    <col min="8457" max="8457" width="14.42578125" style="5" customWidth="1"/>
    <col min="8458" max="8458" width="14.28515625" style="5" customWidth="1"/>
    <col min="8459" max="8459" width="15.85546875" style="5" customWidth="1"/>
    <col min="8460" max="8460" width="14.42578125" style="5" customWidth="1"/>
    <col min="8461" max="8461" width="17.140625" style="5" customWidth="1"/>
    <col min="8462" max="8462" width="17.7109375" style="5" customWidth="1"/>
    <col min="8463" max="8463" width="14.7109375" style="5" customWidth="1"/>
    <col min="8464" max="8464" width="14.85546875" style="5" customWidth="1"/>
    <col min="8465" max="8465" width="23.42578125" style="5" customWidth="1"/>
    <col min="8466" max="8466" width="0.140625" style="5" customWidth="1"/>
    <col min="8467" max="8467" width="28.42578125" style="5" customWidth="1"/>
    <col min="8468" max="8468" width="12" style="5" customWidth="1"/>
    <col min="8469" max="8469" width="6.140625" style="5" customWidth="1"/>
    <col min="8470" max="8470" width="26.85546875" style="5" customWidth="1"/>
    <col min="8471" max="8471" width="10.28515625" style="5" customWidth="1"/>
    <col min="8472" max="8472" width="8.7109375" style="5" customWidth="1"/>
    <col min="8473" max="8477" width="0" style="5" hidden="1" customWidth="1"/>
    <col min="8478" max="8478" width="14.5703125" style="5" customWidth="1"/>
    <col min="8479" max="8711" width="9.140625" style="5"/>
    <col min="8712" max="8712" width="19.42578125" style="5" customWidth="1"/>
    <col min="8713" max="8713" width="14.42578125" style="5" customWidth="1"/>
    <col min="8714" max="8714" width="14.28515625" style="5" customWidth="1"/>
    <col min="8715" max="8715" width="15.85546875" style="5" customWidth="1"/>
    <col min="8716" max="8716" width="14.42578125" style="5" customWidth="1"/>
    <col min="8717" max="8717" width="17.140625" style="5" customWidth="1"/>
    <col min="8718" max="8718" width="17.7109375" style="5" customWidth="1"/>
    <col min="8719" max="8719" width="14.7109375" style="5" customWidth="1"/>
    <col min="8720" max="8720" width="14.85546875" style="5" customWidth="1"/>
    <col min="8721" max="8721" width="23.42578125" style="5" customWidth="1"/>
    <col min="8722" max="8722" width="0.140625" style="5" customWidth="1"/>
    <col min="8723" max="8723" width="28.42578125" style="5" customWidth="1"/>
    <col min="8724" max="8724" width="12" style="5" customWidth="1"/>
    <col min="8725" max="8725" width="6.140625" style="5" customWidth="1"/>
    <col min="8726" max="8726" width="26.85546875" style="5" customWidth="1"/>
    <col min="8727" max="8727" width="10.28515625" style="5" customWidth="1"/>
    <col min="8728" max="8728" width="8.7109375" style="5" customWidth="1"/>
    <col min="8729" max="8733" width="0" style="5" hidden="1" customWidth="1"/>
    <col min="8734" max="8734" width="14.5703125" style="5" customWidth="1"/>
    <col min="8735" max="8967" width="9.140625" style="5"/>
    <col min="8968" max="8968" width="19.42578125" style="5" customWidth="1"/>
    <col min="8969" max="8969" width="14.42578125" style="5" customWidth="1"/>
    <col min="8970" max="8970" width="14.28515625" style="5" customWidth="1"/>
    <col min="8971" max="8971" width="15.85546875" style="5" customWidth="1"/>
    <col min="8972" max="8972" width="14.42578125" style="5" customWidth="1"/>
    <col min="8973" max="8973" width="17.140625" style="5" customWidth="1"/>
    <col min="8974" max="8974" width="17.7109375" style="5" customWidth="1"/>
    <col min="8975" max="8975" width="14.7109375" style="5" customWidth="1"/>
    <col min="8976" max="8976" width="14.85546875" style="5" customWidth="1"/>
    <col min="8977" max="8977" width="23.42578125" style="5" customWidth="1"/>
    <col min="8978" max="8978" width="0.140625" style="5" customWidth="1"/>
    <col min="8979" max="8979" width="28.42578125" style="5" customWidth="1"/>
    <col min="8980" max="8980" width="12" style="5" customWidth="1"/>
    <col min="8981" max="8981" width="6.140625" style="5" customWidth="1"/>
    <col min="8982" max="8982" width="26.85546875" style="5" customWidth="1"/>
    <col min="8983" max="8983" width="10.28515625" style="5" customWidth="1"/>
    <col min="8984" max="8984" width="8.7109375" style="5" customWidth="1"/>
    <col min="8985" max="8989" width="0" style="5" hidden="1" customWidth="1"/>
    <col min="8990" max="8990" width="14.5703125" style="5" customWidth="1"/>
    <col min="8991" max="9223" width="9.140625" style="5"/>
    <col min="9224" max="9224" width="19.42578125" style="5" customWidth="1"/>
    <col min="9225" max="9225" width="14.42578125" style="5" customWidth="1"/>
    <col min="9226" max="9226" width="14.28515625" style="5" customWidth="1"/>
    <col min="9227" max="9227" width="15.85546875" style="5" customWidth="1"/>
    <col min="9228" max="9228" width="14.42578125" style="5" customWidth="1"/>
    <col min="9229" max="9229" width="17.140625" style="5" customWidth="1"/>
    <col min="9230" max="9230" width="17.7109375" style="5" customWidth="1"/>
    <col min="9231" max="9231" width="14.7109375" style="5" customWidth="1"/>
    <col min="9232" max="9232" width="14.85546875" style="5" customWidth="1"/>
    <col min="9233" max="9233" width="23.42578125" style="5" customWidth="1"/>
    <col min="9234" max="9234" width="0.140625" style="5" customWidth="1"/>
    <col min="9235" max="9235" width="28.42578125" style="5" customWidth="1"/>
    <col min="9236" max="9236" width="12" style="5" customWidth="1"/>
    <col min="9237" max="9237" width="6.140625" style="5" customWidth="1"/>
    <col min="9238" max="9238" width="26.85546875" style="5" customWidth="1"/>
    <col min="9239" max="9239" width="10.28515625" style="5" customWidth="1"/>
    <col min="9240" max="9240" width="8.7109375" style="5" customWidth="1"/>
    <col min="9241" max="9245" width="0" style="5" hidden="1" customWidth="1"/>
    <col min="9246" max="9246" width="14.5703125" style="5" customWidth="1"/>
    <col min="9247" max="9479" width="9.140625" style="5"/>
    <col min="9480" max="9480" width="19.42578125" style="5" customWidth="1"/>
    <col min="9481" max="9481" width="14.42578125" style="5" customWidth="1"/>
    <col min="9482" max="9482" width="14.28515625" style="5" customWidth="1"/>
    <col min="9483" max="9483" width="15.85546875" style="5" customWidth="1"/>
    <col min="9484" max="9484" width="14.42578125" style="5" customWidth="1"/>
    <col min="9485" max="9485" width="17.140625" style="5" customWidth="1"/>
    <col min="9486" max="9486" width="17.7109375" style="5" customWidth="1"/>
    <col min="9487" max="9487" width="14.7109375" style="5" customWidth="1"/>
    <col min="9488" max="9488" width="14.85546875" style="5" customWidth="1"/>
    <col min="9489" max="9489" width="23.42578125" style="5" customWidth="1"/>
    <col min="9490" max="9490" width="0.140625" style="5" customWidth="1"/>
    <col min="9491" max="9491" width="28.42578125" style="5" customWidth="1"/>
    <col min="9492" max="9492" width="12" style="5" customWidth="1"/>
    <col min="9493" max="9493" width="6.140625" style="5" customWidth="1"/>
    <col min="9494" max="9494" width="26.85546875" style="5" customWidth="1"/>
    <col min="9495" max="9495" width="10.28515625" style="5" customWidth="1"/>
    <col min="9496" max="9496" width="8.7109375" style="5" customWidth="1"/>
    <col min="9497" max="9501" width="0" style="5" hidden="1" customWidth="1"/>
    <col min="9502" max="9502" width="14.5703125" style="5" customWidth="1"/>
    <col min="9503" max="9735" width="9.140625" style="5"/>
    <col min="9736" max="9736" width="19.42578125" style="5" customWidth="1"/>
    <col min="9737" max="9737" width="14.42578125" style="5" customWidth="1"/>
    <col min="9738" max="9738" width="14.28515625" style="5" customWidth="1"/>
    <col min="9739" max="9739" width="15.85546875" style="5" customWidth="1"/>
    <col min="9740" max="9740" width="14.42578125" style="5" customWidth="1"/>
    <col min="9741" max="9741" width="17.140625" style="5" customWidth="1"/>
    <col min="9742" max="9742" width="17.7109375" style="5" customWidth="1"/>
    <col min="9743" max="9743" width="14.7109375" style="5" customWidth="1"/>
    <col min="9744" max="9744" width="14.85546875" style="5" customWidth="1"/>
    <col min="9745" max="9745" width="23.42578125" style="5" customWidth="1"/>
    <col min="9746" max="9746" width="0.140625" style="5" customWidth="1"/>
    <col min="9747" max="9747" width="28.42578125" style="5" customWidth="1"/>
    <col min="9748" max="9748" width="12" style="5" customWidth="1"/>
    <col min="9749" max="9749" width="6.140625" style="5" customWidth="1"/>
    <col min="9750" max="9750" width="26.85546875" style="5" customWidth="1"/>
    <col min="9751" max="9751" width="10.28515625" style="5" customWidth="1"/>
    <col min="9752" max="9752" width="8.7109375" style="5" customWidth="1"/>
    <col min="9753" max="9757" width="0" style="5" hidden="1" customWidth="1"/>
    <col min="9758" max="9758" width="14.5703125" style="5" customWidth="1"/>
    <col min="9759" max="9991" width="9.140625" style="5"/>
    <col min="9992" max="9992" width="19.42578125" style="5" customWidth="1"/>
    <col min="9993" max="9993" width="14.42578125" style="5" customWidth="1"/>
    <col min="9994" max="9994" width="14.28515625" style="5" customWidth="1"/>
    <col min="9995" max="9995" width="15.85546875" style="5" customWidth="1"/>
    <col min="9996" max="9996" width="14.42578125" style="5" customWidth="1"/>
    <col min="9997" max="9997" width="17.140625" style="5" customWidth="1"/>
    <col min="9998" max="9998" width="17.7109375" style="5" customWidth="1"/>
    <col min="9999" max="9999" width="14.7109375" style="5" customWidth="1"/>
    <col min="10000" max="10000" width="14.85546875" style="5" customWidth="1"/>
    <col min="10001" max="10001" width="23.42578125" style="5" customWidth="1"/>
    <col min="10002" max="10002" width="0.140625" style="5" customWidth="1"/>
    <col min="10003" max="10003" width="28.42578125" style="5" customWidth="1"/>
    <col min="10004" max="10004" width="12" style="5" customWidth="1"/>
    <col min="10005" max="10005" width="6.140625" style="5" customWidth="1"/>
    <col min="10006" max="10006" width="26.85546875" style="5" customWidth="1"/>
    <col min="10007" max="10007" width="10.28515625" style="5" customWidth="1"/>
    <col min="10008" max="10008" width="8.7109375" style="5" customWidth="1"/>
    <col min="10009" max="10013" width="0" style="5" hidden="1" customWidth="1"/>
    <col min="10014" max="10014" width="14.5703125" style="5" customWidth="1"/>
    <col min="10015" max="10247" width="9.140625" style="5"/>
    <col min="10248" max="10248" width="19.42578125" style="5" customWidth="1"/>
    <col min="10249" max="10249" width="14.42578125" style="5" customWidth="1"/>
    <col min="10250" max="10250" width="14.28515625" style="5" customWidth="1"/>
    <col min="10251" max="10251" width="15.85546875" style="5" customWidth="1"/>
    <col min="10252" max="10252" width="14.42578125" style="5" customWidth="1"/>
    <col min="10253" max="10253" width="17.140625" style="5" customWidth="1"/>
    <col min="10254" max="10254" width="17.7109375" style="5" customWidth="1"/>
    <col min="10255" max="10255" width="14.7109375" style="5" customWidth="1"/>
    <col min="10256" max="10256" width="14.85546875" style="5" customWidth="1"/>
    <col min="10257" max="10257" width="23.42578125" style="5" customWidth="1"/>
    <col min="10258" max="10258" width="0.140625" style="5" customWidth="1"/>
    <col min="10259" max="10259" width="28.42578125" style="5" customWidth="1"/>
    <col min="10260" max="10260" width="12" style="5" customWidth="1"/>
    <col min="10261" max="10261" width="6.140625" style="5" customWidth="1"/>
    <col min="10262" max="10262" width="26.85546875" style="5" customWidth="1"/>
    <col min="10263" max="10263" width="10.28515625" style="5" customWidth="1"/>
    <col min="10264" max="10264" width="8.7109375" style="5" customWidth="1"/>
    <col min="10265" max="10269" width="0" style="5" hidden="1" customWidth="1"/>
    <col min="10270" max="10270" width="14.5703125" style="5" customWidth="1"/>
    <col min="10271" max="10503" width="9.140625" style="5"/>
    <col min="10504" max="10504" width="19.42578125" style="5" customWidth="1"/>
    <col min="10505" max="10505" width="14.42578125" style="5" customWidth="1"/>
    <col min="10506" max="10506" width="14.28515625" style="5" customWidth="1"/>
    <col min="10507" max="10507" width="15.85546875" style="5" customWidth="1"/>
    <col min="10508" max="10508" width="14.42578125" style="5" customWidth="1"/>
    <col min="10509" max="10509" width="17.140625" style="5" customWidth="1"/>
    <col min="10510" max="10510" width="17.7109375" style="5" customWidth="1"/>
    <col min="10511" max="10511" width="14.7109375" style="5" customWidth="1"/>
    <col min="10512" max="10512" width="14.85546875" style="5" customWidth="1"/>
    <col min="10513" max="10513" width="23.42578125" style="5" customWidth="1"/>
    <col min="10514" max="10514" width="0.140625" style="5" customWidth="1"/>
    <col min="10515" max="10515" width="28.42578125" style="5" customWidth="1"/>
    <col min="10516" max="10516" width="12" style="5" customWidth="1"/>
    <col min="10517" max="10517" width="6.140625" style="5" customWidth="1"/>
    <col min="10518" max="10518" width="26.85546875" style="5" customWidth="1"/>
    <col min="10519" max="10519" width="10.28515625" style="5" customWidth="1"/>
    <col min="10520" max="10520" width="8.7109375" style="5" customWidth="1"/>
    <col min="10521" max="10525" width="0" style="5" hidden="1" customWidth="1"/>
    <col min="10526" max="10526" width="14.5703125" style="5" customWidth="1"/>
    <col min="10527" max="10759" width="9.140625" style="5"/>
    <col min="10760" max="10760" width="19.42578125" style="5" customWidth="1"/>
    <col min="10761" max="10761" width="14.42578125" style="5" customWidth="1"/>
    <col min="10762" max="10762" width="14.28515625" style="5" customWidth="1"/>
    <col min="10763" max="10763" width="15.85546875" style="5" customWidth="1"/>
    <col min="10764" max="10764" width="14.42578125" style="5" customWidth="1"/>
    <col min="10765" max="10765" width="17.140625" style="5" customWidth="1"/>
    <col min="10766" max="10766" width="17.7109375" style="5" customWidth="1"/>
    <col min="10767" max="10767" width="14.7109375" style="5" customWidth="1"/>
    <col min="10768" max="10768" width="14.85546875" style="5" customWidth="1"/>
    <col min="10769" max="10769" width="23.42578125" style="5" customWidth="1"/>
    <col min="10770" max="10770" width="0.140625" style="5" customWidth="1"/>
    <col min="10771" max="10771" width="28.42578125" style="5" customWidth="1"/>
    <col min="10772" max="10772" width="12" style="5" customWidth="1"/>
    <col min="10773" max="10773" width="6.140625" style="5" customWidth="1"/>
    <col min="10774" max="10774" width="26.85546875" style="5" customWidth="1"/>
    <col min="10775" max="10775" width="10.28515625" style="5" customWidth="1"/>
    <col min="10776" max="10776" width="8.7109375" style="5" customWidth="1"/>
    <col min="10777" max="10781" width="0" style="5" hidden="1" customWidth="1"/>
    <col min="10782" max="10782" width="14.5703125" style="5" customWidth="1"/>
    <col min="10783" max="11015" width="9.140625" style="5"/>
    <col min="11016" max="11016" width="19.42578125" style="5" customWidth="1"/>
    <col min="11017" max="11017" width="14.42578125" style="5" customWidth="1"/>
    <col min="11018" max="11018" width="14.28515625" style="5" customWidth="1"/>
    <col min="11019" max="11019" width="15.85546875" style="5" customWidth="1"/>
    <col min="11020" max="11020" width="14.42578125" style="5" customWidth="1"/>
    <col min="11021" max="11021" width="17.140625" style="5" customWidth="1"/>
    <col min="11022" max="11022" width="17.7109375" style="5" customWidth="1"/>
    <col min="11023" max="11023" width="14.7109375" style="5" customWidth="1"/>
    <col min="11024" max="11024" width="14.85546875" style="5" customWidth="1"/>
    <col min="11025" max="11025" width="23.42578125" style="5" customWidth="1"/>
    <col min="11026" max="11026" width="0.140625" style="5" customWidth="1"/>
    <col min="11027" max="11027" width="28.42578125" style="5" customWidth="1"/>
    <col min="11028" max="11028" width="12" style="5" customWidth="1"/>
    <col min="11029" max="11029" width="6.140625" style="5" customWidth="1"/>
    <col min="11030" max="11030" width="26.85546875" style="5" customWidth="1"/>
    <col min="11031" max="11031" width="10.28515625" style="5" customWidth="1"/>
    <col min="11032" max="11032" width="8.7109375" style="5" customWidth="1"/>
    <col min="11033" max="11037" width="0" style="5" hidden="1" customWidth="1"/>
    <col min="11038" max="11038" width="14.5703125" style="5" customWidth="1"/>
    <col min="11039" max="11271" width="9.140625" style="5"/>
    <col min="11272" max="11272" width="19.42578125" style="5" customWidth="1"/>
    <col min="11273" max="11273" width="14.42578125" style="5" customWidth="1"/>
    <col min="11274" max="11274" width="14.28515625" style="5" customWidth="1"/>
    <col min="11275" max="11275" width="15.85546875" style="5" customWidth="1"/>
    <col min="11276" max="11276" width="14.42578125" style="5" customWidth="1"/>
    <col min="11277" max="11277" width="17.140625" style="5" customWidth="1"/>
    <col min="11278" max="11278" width="17.7109375" style="5" customWidth="1"/>
    <col min="11279" max="11279" width="14.7109375" style="5" customWidth="1"/>
    <col min="11280" max="11280" width="14.85546875" style="5" customWidth="1"/>
    <col min="11281" max="11281" width="23.42578125" style="5" customWidth="1"/>
    <col min="11282" max="11282" width="0.140625" style="5" customWidth="1"/>
    <col min="11283" max="11283" width="28.42578125" style="5" customWidth="1"/>
    <col min="11284" max="11284" width="12" style="5" customWidth="1"/>
    <col min="11285" max="11285" width="6.140625" style="5" customWidth="1"/>
    <col min="11286" max="11286" width="26.85546875" style="5" customWidth="1"/>
    <col min="11287" max="11287" width="10.28515625" style="5" customWidth="1"/>
    <col min="11288" max="11288" width="8.7109375" style="5" customWidth="1"/>
    <col min="11289" max="11293" width="0" style="5" hidden="1" customWidth="1"/>
    <col min="11294" max="11294" width="14.5703125" style="5" customWidth="1"/>
    <col min="11295" max="11527" width="9.140625" style="5"/>
    <col min="11528" max="11528" width="19.42578125" style="5" customWidth="1"/>
    <col min="11529" max="11529" width="14.42578125" style="5" customWidth="1"/>
    <col min="11530" max="11530" width="14.28515625" style="5" customWidth="1"/>
    <col min="11531" max="11531" width="15.85546875" style="5" customWidth="1"/>
    <col min="11532" max="11532" width="14.42578125" style="5" customWidth="1"/>
    <col min="11533" max="11533" width="17.140625" style="5" customWidth="1"/>
    <col min="11534" max="11534" width="17.7109375" style="5" customWidth="1"/>
    <col min="11535" max="11535" width="14.7109375" style="5" customWidth="1"/>
    <col min="11536" max="11536" width="14.85546875" style="5" customWidth="1"/>
    <col min="11537" max="11537" width="23.42578125" style="5" customWidth="1"/>
    <col min="11538" max="11538" width="0.140625" style="5" customWidth="1"/>
    <col min="11539" max="11539" width="28.42578125" style="5" customWidth="1"/>
    <col min="11540" max="11540" width="12" style="5" customWidth="1"/>
    <col min="11541" max="11541" width="6.140625" style="5" customWidth="1"/>
    <col min="11542" max="11542" width="26.85546875" style="5" customWidth="1"/>
    <col min="11543" max="11543" width="10.28515625" style="5" customWidth="1"/>
    <col min="11544" max="11544" width="8.7109375" style="5" customWidth="1"/>
    <col min="11545" max="11549" width="0" style="5" hidden="1" customWidth="1"/>
    <col min="11550" max="11550" width="14.5703125" style="5" customWidth="1"/>
    <col min="11551" max="11783" width="9.140625" style="5"/>
    <col min="11784" max="11784" width="19.42578125" style="5" customWidth="1"/>
    <col min="11785" max="11785" width="14.42578125" style="5" customWidth="1"/>
    <col min="11786" max="11786" width="14.28515625" style="5" customWidth="1"/>
    <col min="11787" max="11787" width="15.85546875" style="5" customWidth="1"/>
    <col min="11788" max="11788" width="14.42578125" style="5" customWidth="1"/>
    <col min="11789" max="11789" width="17.140625" style="5" customWidth="1"/>
    <col min="11790" max="11790" width="17.7109375" style="5" customWidth="1"/>
    <col min="11791" max="11791" width="14.7109375" style="5" customWidth="1"/>
    <col min="11792" max="11792" width="14.85546875" style="5" customWidth="1"/>
    <col min="11793" max="11793" width="23.42578125" style="5" customWidth="1"/>
    <col min="11794" max="11794" width="0.140625" style="5" customWidth="1"/>
    <col min="11795" max="11795" width="28.42578125" style="5" customWidth="1"/>
    <col min="11796" max="11796" width="12" style="5" customWidth="1"/>
    <col min="11797" max="11797" width="6.140625" style="5" customWidth="1"/>
    <col min="11798" max="11798" width="26.85546875" style="5" customWidth="1"/>
    <col min="11799" max="11799" width="10.28515625" style="5" customWidth="1"/>
    <col min="11800" max="11800" width="8.7109375" style="5" customWidth="1"/>
    <col min="11801" max="11805" width="0" style="5" hidden="1" customWidth="1"/>
    <col min="11806" max="11806" width="14.5703125" style="5" customWidth="1"/>
    <col min="11807" max="12039" width="9.140625" style="5"/>
    <col min="12040" max="12040" width="19.42578125" style="5" customWidth="1"/>
    <col min="12041" max="12041" width="14.42578125" style="5" customWidth="1"/>
    <col min="12042" max="12042" width="14.28515625" style="5" customWidth="1"/>
    <col min="12043" max="12043" width="15.85546875" style="5" customWidth="1"/>
    <col min="12044" max="12044" width="14.42578125" style="5" customWidth="1"/>
    <col min="12045" max="12045" width="17.140625" style="5" customWidth="1"/>
    <col min="12046" max="12046" width="17.7109375" style="5" customWidth="1"/>
    <col min="12047" max="12047" width="14.7109375" style="5" customWidth="1"/>
    <col min="12048" max="12048" width="14.85546875" style="5" customWidth="1"/>
    <col min="12049" max="12049" width="23.42578125" style="5" customWidth="1"/>
    <col min="12050" max="12050" width="0.140625" style="5" customWidth="1"/>
    <col min="12051" max="12051" width="28.42578125" style="5" customWidth="1"/>
    <col min="12052" max="12052" width="12" style="5" customWidth="1"/>
    <col min="12053" max="12053" width="6.140625" style="5" customWidth="1"/>
    <col min="12054" max="12054" width="26.85546875" style="5" customWidth="1"/>
    <col min="12055" max="12055" width="10.28515625" style="5" customWidth="1"/>
    <col min="12056" max="12056" width="8.7109375" style="5" customWidth="1"/>
    <col min="12057" max="12061" width="0" style="5" hidden="1" customWidth="1"/>
    <col min="12062" max="12062" width="14.5703125" style="5" customWidth="1"/>
    <col min="12063" max="12295" width="9.140625" style="5"/>
    <col min="12296" max="12296" width="19.42578125" style="5" customWidth="1"/>
    <col min="12297" max="12297" width="14.42578125" style="5" customWidth="1"/>
    <col min="12298" max="12298" width="14.28515625" style="5" customWidth="1"/>
    <col min="12299" max="12299" width="15.85546875" style="5" customWidth="1"/>
    <col min="12300" max="12300" width="14.42578125" style="5" customWidth="1"/>
    <col min="12301" max="12301" width="17.140625" style="5" customWidth="1"/>
    <col min="12302" max="12302" width="17.7109375" style="5" customWidth="1"/>
    <col min="12303" max="12303" width="14.7109375" style="5" customWidth="1"/>
    <col min="12304" max="12304" width="14.85546875" style="5" customWidth="1"/>
    <col min="12305" max="12305" width="23.42578125" style="5" customWidth="1"/>
    <col min="12306" max="12306" width="0.140625" style="5" customWidth="1"/>
    <col min="12307" max="12307" width="28.42578125" style="5" customWidth="1"/>
    <col min="12308" max="12308" width="12" style="5" customWidth="1"/>
    <col min="12309" max="12309" width="6.140625" style="5" customWidth="1"/>
    <col min="12310" max="12310" width="26.85546875" style="5" customWidth="1"/>
    <col min="12311" max="12311" width="10.28515625" style="5" customWidth="1"/>
    <col min="12312" max="12312" width="8.7109375" style="5" customWidth="1"/>
    <col min="12313" max="12317" width="0" style="5" hidden="1" customWidth="1"/>
    <col min="12318" max="12318" width="14.5703125" style="5" customWidth="1"/>
    <col min="12319" max="12551" width="9.140625" style="5"/>
    <col min="12552" max="12552" width="19.42578125" style="5" customWidth="1"/>
    <col min="12553" max="12553" width="14.42578125" style="5" customWidth="1"/>
    <col min="12554" max="12554" width="14.28515625" style="5" customWidth="1"/>
    <col min="12555" max="12555" width="15.85546875" style="5" customWidth="1"/>
    <col min="12556" max="12556" width="14.42578125" style="5" customWidth="1"/>
    <col min="12557" max="12557" width="17.140625" style="5" customWidth="1"/>
    <col min="12558" max="12558" width="17.7109375" style="5" customWidth="1"/>
    <col min="12559" max="12559" width="14.7109375" style="5" customWidth="1"/>
    <col min="12560" max="12560" width="14.85546875" style="5" customWidth="1"/>
    <col min="12561" max="12561" width="23.42578125" style="5" customWidth="1"/>
    <col min="12562" max="12562" width="0.140625" style="5" customWidth="1"/>
    <col min="12563" max="12563" width="28.42578125" style="5" customWidth="1"/>
    <col min="12564" max="12564" width="12" style="5" customWidth="1"/>
    <col min="12565" max="12565" width="6.140625" style="5" customWidth="1"/>
    <col min="12566" max="12566" width="26.85546875" style="5" customWidth="1"/>
    <col min="12567" max="12567" width="10.28515625" style="5" customWidth="1"/>
    <col min="12568" max="12568" width="8.7109375" style="5" customWidth="1"/>
    <col min="12569" max="12573" width="0" style="5" hidden="1" customWidth="1"/>
    <col min="12574" max="12574" width="14.5703125" style="5" customWidth="1"/>
    <col min="12575" max="12807" width="9.140625" style="5"/>
    <col min="12808" max="12808" width="19.42578125" style="5" customWidth="1"/>
    <col min="12809" max="12809" width="14.42578125" style="5" customWidth="1"/>
    <col min="12810" max="12810" width="14.28515625" style="5" customWidth="1"/>
    <col min="12811" max="12811" width="15.85546875" style="5" customWidth="1"/>
    <col min="12812" max="12812" width="14.42578125" style="5" customWidth="1"/>
    <col min="12813" max="12813" width="17.140625" style="5" customWidth="1"/>
    <col min="12814" max="12814" width="17.7109375" style="5" customWidth="1"/>
    <col min="12815" max="12815" width="14.7109375" style="5" customWidth="1"/>
    <col min="12816" max="12816" width="14.85546875" style="5" customWidth="1"/>
    <col min="12817" max="12817" width="23.42578125" style="5" customWidth="1"/>
    <col min="12818" max="12818" width="0.140625" style="5" customWidth="1"/>
    <col min="12819" max="12819" width="28.42578125" style="5" customWidth="1"/>
    <col min="12820" max="12820" width="12" style="5" customWidth="1"/>
    <col min="12821" max="12821" width="6.140625" style="5" customWidth="1"/>
    <col min="12822" max="12822" width="26.85546875" style="5" customWidth="1"/>
    <col min="12823" max="12823" width="10.28515625" style="5" customWidth="1"/>
    <col min="12824" max="12824" width="8.7109375" style="5" customWidth="1"/>
    <col min="12825" max="12829" width="0" style="5" hidden="1" customWidth="1"/>
    <col min="12830" max="12830" width="14.5703125" style="5" customWidth="1"/>
    <col min="12831" max="13063" width="9.140625" style="5"/>
    <col min="13064" max="13064" width="19.42578125" style="5" customWidth="1"/>
    <col min="13065" max="13065" width="14.42578125" style="5" customWidth="1"/>
    <col min="13066" max="13066" width="14.28515625" style="5" customWidth="1"/>
    <col min="13067" max="13067" width="15.85546875" style="5" customWidth="1"/>
    <col min="13068" max="13068" width="14.42578125" style="5" customWidth="1"/>
    <col min="13069" max="13069" width="17.140625" style="5" customWidth="1"/>
    <col min="13070" max="13070" width="17.7109375" style="5" customWidth="1"/>
    <col min="13071" max="13071" width="14.7109375" style="5" customWidth="1"/>
    <col min="13072" max="13072" width="14.85546875" style="5" customWidth="1"/>
    <col min="13073" max="13073" width="23.42578125" style="5" customWidth="1"/>
    <col min="13074" max="13074" width="0.140625" style="5" customWidth="1"/>
    <col min="13075" max="13075" width="28.42578125" style="5" customWidth="1"/>
    <col min="13076" max="13076" width="12" style="5" customWidth="1"/>
    <col min="13077" max="13077" width="6.140625" style="5" customWidth="1"/>
    <col min="13078" max="13078" width="26.85546875" style="5" customWidth="1"/>
    <col min="13079" max="13079" width="10.28515625" style="5" customWidth="1"/>
    <col min="13080" max="13080" width="8.7109375" style="5" customWidth="1"/>
    <col min="13081" max="13085" width="0" style="5" hidden="1" customWidth="1"/>
    <col min="13086" max="13086" width="14.5703125" style="5" customWidth="1"/>
    <col min="13087" max="13319" width="9.140625" style="5"/>
    <col min="13320" max="13320" width="19.42578125" style="5" customWidth="1"/>
    <col min="13321" max="13321" width="14.42578125" style="5" customWidth="1"/>
    <col min="13322" max="13322" width="14.28515625" style="5" customWidth="1"/>
    <col min="13323" max="13323" width="15.85546875" style="5" customWidth="1"/>
    <col min="13324" max="13324" width="14.42578125" style="5" customWidth="1"/>
    <col min="13325" max="13325" width="17.140625" style="5" customWidth="1"/>
    <col min="13326" max="13326" width="17.7109375" style="5" customWidth="1"/>
    <col min="13327" max="13327" width="14.7109375" style="5" customWidth="1"/>
    <col min="13328" max="13328" width="14.85546875" style="5" customWidth="1"/>
    <col min="13329" max="13329" width="23.42578125" style="5" customWidth="1"/>
    <col min="13330" max="13330" width="0.140625" style="5" customWidth="1"/>
    <col min="13331" max="13331" width="28.42578125" style="5" customWidth="1"/>
    <col min="13332" max="13332" width="12" style="5" customWidth="1"/>
    <col min="13333" max="13333" width="6.140625" style="5" customWidth="1"/>
    <col min="13334" max="13334" width="26.85546875" style="5" customWidth="1"/>
    <col min="13335" max="13335" width="10.28515625" style="5" customWidth="1"/>
    <col min="13336" max="13336" width="8.7109375" style="5" customWidth="1"/>
    <col min="13337" max="13341" width="0" style="5" hidden="1" customWidth="1"/>
    <col min="13342" max="13342" width="14.5703125" style="5" customWidth="1"/>
    <col min="13343" max="13575" width="9.140625" style="5"/>
    <col min="13576" max="13576" width="19.42578125" style="5" customWidth="1"/>
    <col min="13577" max="13577" width="14.42578125" style="5" customWidth="1"/>
    <col min="13578" max="13578" width="14.28515625" style="5" customWidth="1"/>
    <col min="13579" max="13579" width="15.85546875" style="5" customWidth="1"/>
    <col min="13580" max="13580" width="14.42578125" style="5" customWidth="1"/>
    <col min="13581" max="13581" width="17.140625" style="5" customWidth="1"/>
    <col min="13582" max="13582" width="17.7109375" style="5" customWidth="1"/>
    <col min="13583" max="13583" width="14.7109375" style="5" customWidth="1"/>
    <col min="13584" max="13584" width="14.85546875" style="5" customWidth="1"/>
    <col min="13585" max="13585" width="23.42578125" style="5" customWidth="1"/>
    <col min="13586" max="13586" width="0.140625" style="5" customWidth="1"/>
    <col min="13587" max="13587" width="28.42578125" style="5" customWidth="1"/>
    <col min="13588" max="13588" width="12" style="5" customWidth="1"/>
    <col min="13589" max="13589" width="6.140625" style="5" customWidth="1"/>
    <col min="13590" max="13590" width="26.85546875" style="5" customWidth="1"/>
    <col min="13591" max="13591" width="10.28515625" style="5" customWidth="1"/>
    <col min="13592" max="13592" width="8.7109375" style="5" customWidth="1"/>
    <col min="13593" max="13597" width="0" style="5" hidden="1" customWidth="1"/>
    <col min="13598" max="13598" width="14.5703125" style="5" customWidth="1"/>
    <col min="13599" max="13831" width="9.140625" style="5"/>
    <col min="13832" max="13832" width="19.42578125" style="5" customWidth="1"/>
    <col min="13833" max="13833" width="14.42578125" style="5" customWidth="1"/>
    <col min="13834" max="13834" width="14.28515625" style="5" customWidth="1"/>
    <col min="13835" max="13835" width="15.85546875" style="5" customWidth="1"/>
    <col min="13836" max="13836" width="14.42578125" style="5" customWidth="1"/>
    <col min="13837" max="13837" width="17.140625" style="5" customWidth="1"/>
    <col min="13838" max="13838" width="17.7109375" style="5" customWidth="1"/>
    <col min="13839" max="13839" width="14.7109375" style="5" customWidth="1"/>
    <col min="13840" max="13840" width="14.85546875" style="5" customWidth="1"/>
    <col min="13841" max="13841" width="23.42578125" style="5" customWidth="1"/>
    <col min="13842" max="13842" width="0.140625" style="5" customWidth="1"/>
    <col min="13843" max="13843" width="28.42578125" style="5" customWidth="1"/>
    <col min="13844" max="13844" width="12" style="5" customWidth="1"/>
    <col min="13845" max="13845" width="6.140625" style="5" customWidth="1"/>
    <col min="13846" max="13846" width="26.85546875" style="5" customWidth="1"/>
    <col min="13847" max="13847" width="10.28515625" style="5" customWidth="1"/>
    <col min="13848" max="13848" width="8.7109375" style="5" customWidth="1"/>
    <col min="13849" max="13853" width="0" style="5" hidden="1" customWidth="1"/>
    <col min="13854" max="13854" width="14.5703125" style="5" customWidth="1"/>
    <col min="13855" max="14087" width="9.140625" style="5"/>
    <col min="14088" max="14088" width="19.42578125" style="5" customWidth="1"/>
    <col min="14089" max="14089" width="14.42578125" style="5" customWidth="1"/>
    <col min="14090" max="14090" width="14.28515625" style="5" customWidth="1"/>
    <col min="14091" max="14091" width="15.85546875" style="5" customWidth="1"/>
    <col min="14092" max="14092" width="14.42578125" style="5" customWidth="1"/>
    <col min="14093" max="14093" width="17.140625" style="5" customWidth="1"/>
    <col min="14094" max="14094" width="17.7109375" style="5" customWidth="1"/>
    <col min="14095" max="14095" width="14.7109375" style="5" customWidth="1"/>
    <col min="14096" max="14096" width="14.85546875" style="5" customWidth="1"/>
    <col min="14097" max="14097" width="23.42578125" style="5" customWidth="1"/>
    <col min="14098" max="14098" width="0.140625" style="5" customWidth="1"/>
    <col min="14099" max="14099" width="28.42578125" style="5" customWidth="1"/>
    <col min="14100" max="14100" width="12" style="5" customWidth="1"/>
    <col min="14101" max="14101" width="6.140625" style="5" customWidth="1"/>
    <col min="14102" max="14102" width="26.85546875" style="5" customWidth="1"/>
    <col min="14103" max="14103" width="10.28515625" style="5" customWidth="1"/>
    <col min="14104" max="14104" width="8.7109375" style="5" customWidth="1"/>
    <col min="14105" max="14109" width="0" style="5" hidden="1" customWidth="1"/>
    <col min="14110" max="14110" width="14.5703125" style="5" customWidth="1"/>
    <col min="14111" max="14343" width="9.140625" style="5"/>
    <col min="14344" max="14344" width="19.42578125" style="5" customWidth="1"/>
    <col min="14345" max="14345" width="14.42578125" style="5" customWidth="1"/>
    <col min="14346" max="14346" width="14.28515625" style="5" customWidth="1"/>
    <col min="14347" max="14347" width="15.85546875" style="5" customWidth="1"/>
    <col min="14348" max="14348" width="14.42578125" style="5" customWidth="1"/>
    <col min="14349" max="14349" width="17.140625" style="5" customWidth="1"/>
    <col min="14350" max="14350" width="17.7109375" style="5" customWidth="1"/>
    <col min="14351" max="14351" width="14.7109375" style="5" customWidth="1"/>
    <col min="14352" max="14352" width="14.85546875" style="5" customWidth="1"/>
    <col min="14353" max="14353" width="23.42578125" style="5" customWidth="1"/>
    <col min="14354" max="14354" width="0.140625" style="5" customWidth="1"/>
    <col min="14355" max="14355" width="28.42578125" style="5" customWidth="1"/>
    <col min="14356" max="14356" width="12" style="5" customWidth="1"/>
    <col min="14357" max="14357" width="6.140625" style="5" customWidth="1"/>
    <col min="14358" max="14358" width="26.85546875" style="5" customWidth="1"/>
    <col min="14359" max="14359" width="10.28515625" style="5" customWidth="1"/>
    <col min="14360" max="14360" width="8.7109375" style="5" customWidth="1"/>
    <col min="14361" max="14365" width="0" style="5" hidden="1" customWidth="1"/>
    <col min="14366" max="14366" width="14.5703125" style="5" customWidth="1"/>
    <col min="14367" max="14599" width="9.140625" style="5"/>
    <col min="14600" max="14600" width="19.42578125" style="5" customWidth="1"/>
    <col min="14601" max="14601" width="14.42578125" style="5" customWidth="1"/>
    <col min="14602" max="14602" width="14.28515625" style="5" customWidth="1"/>
    <col min="14603" max="14603" width="15.85546875" style="5" customWidth="1"/>
    <col min="14604" max="14604" width="14.42578125" style="5" customWidth="1"/>
    <col min="14605" max="14605" width="17.140625" style="5" customWidth="1"/>
    <col min="14606" max="14606" width="17.7109375" style="5" customWidth="1"/>
    <col min="14607" max="14607" width="14.7109375" style="5" customWidth="1"/>
    <col min="14608" max="14608" width="14.85546875" style="5" customWidth="1"/>
    <col min="14609" max="14609" width="23.42578125" style="5" customWidth="1"/>
    <col min="14610" max="14610" width="0.140625" style="5" customWidth="1"/>
    <col min="14611" max="14611" width="28.42578125" style="5" customWidth="1"/>
    <col min="14612" max="14612" width="12" style="5" customWidth="1"/>
    <col min="14613" max="14613" width="6.140625" style="5" customWidth="1"/>
    <col min="14614" max="14614" width="26.85546875" style="5" customWidth="1"/>
    <col min="14615" max="14615" width="10.28515625" style="5" customWidth="1"/>
    <col min="14616" max="14616" width="8.7109375" style="5" customWidth="1"/>
    <col min="14617" max="14621" width="0" style="5" hidden="1" customWidth="1"/>
    <col min="14622" max="14622" width="14.5703125" style="5" customWidth="1"/>
    <col min="14623" max="14855" width="9.140625" style="5"/>
    <col min="14856" max="14856" width="19.42578125" style="5" customWidth="1"/>
    <col min="14857" max="14857" width="14.42578125" style="5" customWidth="1"/>
    <col min="14858" max="14858" width="14.28515625" style="5" customWidth="1"/>
    <col min="14859" max="14859" width="15.85546875" style="5" customWidth="1"/>
    <col min="14860" max="14860" width="14.42578125" style="5" customWidth="1"/>
    <col min="14861" max="14861" width="17.140625" style="5" customWidth="1"/>
    <col min="14862" max="14862" width="17.7109375" style="5" customWidth="1"/>
    <col min="14863" max="14863" width="14.7109375" style="5" customWidth="1"/>
    <col min="14864" max="14864" width="14.85546875" style="5" customWidth="1"/>
    <col min="14865" max="14865" width="23.42578125" style="5" customWidth="1"/>
    <col min="14866" max="14866" width="0.140625" style="5" customWidth="1"/>
    <col min="14867" max="14867" width="28.42578125" style="5" customWidth="1"/>
    <col min="14868" max="14868" width="12" style="5" customWidth="1"/>
    <col min="14869" max="14869" width="6.140625" style="5" customWidth="1"/>
    <col min="14870" max="14870" width="26.85546875" style="5" customWidth="1"/>
    <col min="14871" max="14871" width="10.28515625" style="5" customWidth="1"/>
    <col min="14872" max="14872" width="8.7109375" style="5" customWidth="1"/>
    <col min="14873" max="14877" width="0" style="5" hidden="1" customWidth="1"/>
    <col min="14878" max="14878" width="14.5703125" style="5" customWidth="1"/>
    <col min="14879" max="15111" width="9.140625" style="5"/>
    <col min="15112" max="15112" width="19.42578125" style="5" customWidth="1"/>
    <col min="15113" max="15113" width="14.42578125" style="5" customWidth="1"/>
    <col min="15114" max="15114" width="14.28515625" style="5" customWidth="1"/>
    <col min="15115" max="15115" width="15.85546875" style="5" customWidth="1"/>
    <col min="15116" max="15116" width="14.42578125" style="5" customWidth="1"/>
    <col min="15117" max="15117" width="17.140625" style="5" customWidth="1"/>
    <col min="15118" max="15118" width="17.7109375" style="5" customWidth="1"/>
    <col min="15119" max="15119" width="14.7109375" style="5" customWidth="1"/>
    <col min="15120" max="15120" width="14.85546875" style="5" customWidth="1"/>
    <col min="15121" max="15121" width="23.42578125" style="5" customWidth="1"/>
    <col min="15122" max="15122" width="0.140625" style="5" customWidth="1"/>
    <col min="15123" max="15123" width="28.42578125" style="5" customWidth="1"/>
    <col min="15124" max="15124" width="12" style="5" customWidth="1"/>
    <col min="15125" max="15125" width="6.140625" style="5" customWidth="1"/>
    <col min="15126" max="15126" width="26.85546875" style="5" customWidth="1"/>
    <col min="15127" max="15127" width="10.28515625" style="5" customWidth="1"/>
    <col min="15128" max="15128" width="8.7109375" style="5" customWidth="1"/>
    <col min="15129" max="15133" width="0" style="5" hidden="1" customWidth="1"/>
    <col min="15134" max="15134" width="14.5703125" style="5" customWidth="1"/>
    <col min="15135" max="15367" width="9.140625" style="5"/>
    <col min="15368" max="15368" width="19.42578125" style="5" customWidth="1"/>
    <col min="15369" max="15369" width="14.42578125" style="5" customWidth="1"/>
    <col min="15370" max="15370" width="14.28515625" style="5" customWidth="1"/>
    <col min="15371" max="15371" width="15.85546875" style="5" customWidth="1"/>
    <col min="15372" max="15372" width="14.42578125" style="5" customWidth="1"/>
    <col min="15373" max="15373" width="17.140625" style="5" customWidth="1"/>
    <col min="15374" max="15374" width="17.7109375" style="5" customWidth="1"/>
    <col min="15375" max="15375" width="14.7109375" style="5" customWidth="1"/>
    <col min="15376" max="15376" width="14.85546875" style="5" customWidth="1"/>
    <col min="15377" max="15377" width="23.42578125" style="5" customWidth="1"/>
    <col min="15378" max="15378" width="0.140625" style="5" customWidth="1"/>
    <col min="15379" max="15379" width="28.42578125" style="5" customWidth="1"/>
    <col min="15380" max="15380" width="12" style="5" customWidth="1"/>
    <col min="15381" max="15381" width="6.140625" style="5" customWidth="1"/>
    <col min="15382" max="15382" width="26.85546875" style="5" customWidth="1"/>
    <col min="15383" max="15383" width="10.28515625" style="5" customWidth="1"/>
    <col min="15384" max="15384" width="8.7109375" style="5" customWidth="1"/>
    <col min="15385" max="15389" width="0" style="5" hidden="1" customWidth="1"/>
    <col min="15390" max="15390" width="14.5703125" style="5" customWidth="1"/>
    <col min="15391" max="15623" width="9.140625" style="5"/>
    <col min="15624" max="15624" width="19.42578125" style="5" customWidth="1"/>
    <col min="15625" max="15625" width="14.42578125" style="5" customWidth="1"/>
    <col min="15626" max="15626" width="14.28515625" style="5" customWidth="1"/>
    <col min="15627" max="15627" width="15.85546875" style="5" customWidth="1"/>
    <col min="15628" max="15628" width="14.42578125" style="5" customWidth="1"/>
    <col min="15629" max="15629" width="17.140625" style="5" customWidth="1"/>
    <col min="15630" max="15630" width="17.7109375" style="5" customWidth="1"/>
    <col min="15631" max="15631" width="14.7109375" style="5" customWidth="1"/>
    <col min="15632" max="15632" width="14.85546875" style="5" customWidth="1"/>
    <col min="15633" max="15633" width="23.42578125" style="5" customWidth="1"/>
    <col min="15634" max="15634" width="0.140625" style="5" customWidth="1"/>
    <col min="15635" max="15635" width="28.42578125" style="5" customWidth="1"/>
    <col min="15636" max="15636" width="12" style="5" customWidth="1"/>
    <col min="15637" max="15637" width="6.140625" style="5" customWidth="1"/>
    <col min="15638" max="15638" width="26.85546875" style="5" customWidth="1"/>
    <col min="15639" max="15639" width="10.28515625" style="5" customWidth="1"/>
    <col min="15640" max="15640" width="8.7109375" style="5" customWidth="1"/>
    <col min="15641" max="15645" width="0" style="5" hidden="1" customWidth="1"/>
    <col min="15646" max="15646" width="14.5703125" style="5" customWidth="1"/>
    <col min="15647" max="15879" width="9.140625" style="5"/>
    <col min="15880" max="15880" width="19.42578125" style="5" customWidth="1"/>
    <col min="15881" max="15881" width="14.42578125" style="5" customWidth="1"/>
    <col min="15882" max="15882" width="14.28515625" style="5" customWidth="1"/>
    <col min="15883" max="15883" width="15.85546875" style="5" customWidth="1"/>
    <col min="15884" max="15884" width="14.42578125" style="5" customWidth="1"/>
    <col min="15885" max="15885" width="17.140625" style="5" customWidth="1"/>
    <col min="15886" max="15886" width="17.7109375" style="5" customWidth="1"/>
    <col min="15887" max="15887" width="14.7109375" style="5" customWidth="1"/>
    <col min="15888" max="15888" width="14.85546875" style="5" customWidth="1"/>
    <col min="15889" max="15889" width="23.42578125" style="5" customWidth="1"/>
    <col min="15890" max="15890" width="0.140625" style="5" customWidth="1"/>
    <col min="15891" max="15891" width="28.42578125" style="5" customWidth="1"/>
    <col min="15892" max="15892" width="12" style="5" customWidth="1"/>
    <col min="15893" max="15893" width="6.140625" style="5" customWidth="1"/>
    <col min="15894" max="15894" width="26.85546875" style="5" customWidth="1"/>
    <col min="15895" max="15895" width="10.28515625" style="5" customWidth="1"/>
    <col min="15896" max="15896" width="8.7109375" style="5" customWidth="1"/>
    <col min="15897" max="15901" width="0" style="5" hidden="1" customWidth="1"/>
    <col min="15902" max="15902" width="14.5703125" style="5" customWidth="1"/>
    <col min="15903" max="16135" width="9.140625" style="5"/>
    <col min="16136" max="16136" width="19.42578125" style="5" customWidth="1"/>
    <col min="16137" max="16137" width="14.42578125" style="5" customWidth="1"/>
    <col min="16138" max="16138" width="14.28515625" style="5" customWidth="1"/>
    <col min="16139" max="16139" width="15.85546875" style="5" customWidth="1"/>
    <col min="16140" max="16140" width="14.42578125" style="5" customWidth="1"/>
    <col min="16141" max="16141" width="17.140625" style="5" customWidth="1"/>
    <col min="16142" max="16142" width="17.7109375" style="5" customWidth="1"/>
    <col min="16143" max="16143" width="14.7109375" style="5" customWidth="1"/>
    <col min="16144" max="16144" width="14.85546875" style="5" customWidth="1"/>
    <col min="16145" max="16145" width="23.42578125" style="5" customWidth="1"/>
    <col min="16146" max="16146" width="0.140625" style="5" customWidth="1"/>
    <col min="16147" max="16147" width="28.42578125" style="5" customWidth="1"/>
    <col min="16148" max="16148" width="12" style="5" customWidth="1"/>
    <col min="16149" max="16149" width="6.140625" style="5" customWidth="1"/>
    <col min="16150" max="16150" width="26.85546875" style="5" customWidth="1"/>
    <col min="16151" max="16151" width="10.28515625" style="5" customWidth="1"/>
    <col min="16152" max="16152" width="8.7109375" style="5" customWidth="1"/>
    <col min="16153" max="16157" width="0" style="5" hidden="1" customWidth="1"/>
    <col min="16158" max="16158" width="14.5703125" style="5" customWidth="1"/>
    <col min="16159" max="16384" width="9.140625" style="5"/>
  </cols>
  <sheetData>
    <row r="1" spans="1:34" ht="60.75" customHeight="1" thickBot="1">
      <c r="A1" s="133"/>
      <c r="B1" s="134"/>
      <c r="C1" s="134"/>
      <c r="D1" s="134"/>
      <c r="E1" s="135" t="s">
        <v>51</v>
      </c>
      <c r="F1" s="136"/>
      <c r="G1" s="136"/>
      <c r="H1" s="137"/>
      <c r="I1" s="137"/>
      <c r="J1" s="138"/>
      <c r="K1" s="13"/>
      <c r="L1" s="13"/>
      <c r="M1" s="1"/>
      <c r="N1" s="2"/>
      <c r="O1" s="3"/>
      <c r="P1" s="3"/>
      <c r="Q1" s="3"/>
      <c r="R1" s="3"/>
      <c r="S1" s="3"/>
      <c r="T1" s="3"/>
      <c r="U1" s="3"/>
      <c r="V1" s="3"/>
      <c r="W1" s="4"/>
      <c r="X1" s="4"/>
      <c r="Y1" s="3"/>
    </row>
    <row r="2" spans="1:34" ht="78.75" customHeight="1" thickBot="1">
      <c r="A2" s="139" t="s">
        <v>52</v>
      </c>
      <c r="B2" s="139"/>
      <c r="C2" s="139"/>
      <c r="D2" s="139"/>
      <c r="E2" s="139"/>
      <c r="F2" s="139"/>
      <c r="G2" s="139"/>
      <c r="H2" s="139"/>
      <c r="I2" s="139"/>
      <c r="J2" s="139"/>
      <c r="K2" s="14"/>
      <c r="L2" s="84"/>
      <c r="M2" s="1"/>
      <c r="N2" s="6"/>
      <c r="O2" s="3"/>
      <c r="P2" s="3"/>
      <c r="Q2" s="3"/>
      <c r="R2" s="3"/>
      <c r="S2" s="3"/>
      <c r="T2" s="3"/>
      <c r="U2" s="3"/>
      <c r="V2" s="3"/>
      <c r="W2" s="7"/>
      <c r="X2" s="7"/>
      <c r="AA2" s="5" t="s">
        <v>15</v>
      </c>
      <c r="AB2" s="5" t="s">
        <v>14</v>
      </c>
      <c r="AC2" s="8" t="s">
        <v>13</v>
      </c>
    </row>
    <row r="3" spans="1:34" ht="15.75" customHeight="1" thickTop="1" thickBot="1">
      <c r="A3" s="120" t="s">
        <v>1</v>
      </c>
      <c r="B3" s="121"/>
      <c r="C3" s="122"/>
      <c r="D3" s="123"/>
      <c r="E3" s="123"/>
      <c r="F3" s="123"/>
      <c r="G3" s="123"/>
      <c r="H3" s="124"/>
      <c r="I3" s="124"/>
      <c r="J3" s="125"/>
      <c r="K3" s="15"/>
      <c r="L3" s="15"/>
      <c r="M3" s="1"/>
      <c r="N3" s="9"/>
      <c r="O3" s="3"/>
      <c r="P3" s="3"/>
      <c r="Q3" s="3"/>
      <c r="R3" s="3"/>
      <c r="S3" s="3"/>
      <c r="T3" s="3"/>
      <c r="U3" s="3"/>
      <c r="V3" s="3"/>
      <c r="W3" s="7"/>
      <c r="X3" s="7"/>
      <c r="Y3" s="5">
        <v>1</v>
      </c>
      <c r="Z3" s="5" t="s">
        <v>12</v>
      </c>
      <c r="AA3" s="5">
        <v>16</v>
      </c>
      <c r="AB3" s="5">
        <v>14</v>
      </c>
      <c r="AC3" s="5">
        <v>40</v>
      </c>
    </row>
    <row r="4" spans="1:34" ht="15.75" customHeight="1" thickTop="1" thickBot="1">
      <c r="A4" s="120" t="s">
        <v>2</v>
      </c>
      <c r="B4" s="121"/>
      <c r="C4" s="122"/>
      <c r="D4" s="123"/>
      <c r="E4" s="123"/>
      <c r="F4" s="123"/>
      <c r="G4" s="123"/>
      <c r="H4" s="124"/>
      <c r="I4" s="124"/>
      <c r="J4" s="125"/>
      <c r="K4" s="15"/>
      <c r="L4" s="15"/>
      <c r="M4" s="1"/>
      <c r="N4" s="9"/>
      <c r="O4" s="3"/>
      <c r="P4" s="3"/>
      <c r="Q4" s="3"/>
      <c r="R4" s="3"/>
      <c r="S4" s="3"/>
      <c r="T4" s="3"/>
      <c r="U4" s="3"/>
      <c r="V4" s="3"/>
      <c r="W4" s="7"/>
      <c r="X4" s="7"/>
      <c r="Y4" s="5">
        <v>2</v>
      </c>
      <c r="Z4" s="5" t="s">
        <v>11</v>
      </c>
      <c r="AA4" s="5">
        <v>12</v>
      </c>
      <c r="AB4" s="5">
        <v>16</v>
      </c>
      <c r="AC4" s="5">
        <v>2</v>
      </c>
    </row>
    <row r="5" spans="1:34" ht="15.75" customHeight="1" thickTop="1" thickBot="1">
      <c r="A5" s="120" t="s">
        <v>3</v>
      </c>
      <c r="B5" s="121"/>
      <c r="C5" s="122"/>
      <c r="D5" s="123"/>
      <c r="E5" s="123"/>
      <c r="F5" s="123"/>
      <c r="G5" s="123"/>
      <c r="H5" s="124"/>
      <c r="I5" s="124"/>
      <c r="J5" s="125"/>
      <c r="K5" s="15"/>
      <c r="L5" s="15"/>
      <c r="M5" s="1"/>
      <c r="N5" s="9"/>
      <c r="O5" s="3"/>
      <c r="P5" s="3"/>
      <c r="Q5" s="3"/>
      <c r="R5" s="3"/>
      <c r="S5" s="3"/>
      <c r="T5" s="3"/>
      <c r="U5" s="3"/>
      <c r="V5" s="3"/>
      <c r="W5" s="7"/>
      <c r="X5" s="7"/>
      <c r="Y5" s="5">
        <v>3</v>
      </c>
      <c r="Z5" s="5" t="s">
        <v>4</v>
      </c>
      <c r="AA5" s="5">
        <v>12</v>
      </c>
      <c r="AB5" s="5">
        <v>16</v>
      </c>
      <c r="AC5" s="5">
        <v>8</v>
      </c>
      <c r="AE5" s="8"/>
    </row>
    <row r="6" spans="1:34" ht="15.75" customHeight="1" thickTop="1" thickBot="1">
      <c r="A6" s="126"/>
      <c r="B6" s="121"/>
      <c r="C6" s="122"/>
      <c r="D6" s="123"/>
      <c r="E6" s="123"/>
      <c r="F6" s="123"/>
      <c r="G6" s="123"/>
      <c r="H6" s="124"/>
      <c r="I6" s="124"/>
      <c r="J6" s="125"/>
      <c r="K6" s="15"/>
      <c r="L6" s="15"/>
      <c r="M6" s="1"/>
      <c r="N6" s="9"/>
      <c r="O6" s="3"/>
      <c r="P6" s="3"/>
      <c r="Q6" s="3"/>
      <c r="R6" s="3"/>
      <c r="S6" s="3"/>
      <c r="T6" s="3"/>
      <c r="U6" s="3"/>
      <c r="V6" s="3"/>
      <c r="W6" s="7"/>
      <c r="X6" s="7"/>
      <c r="Y6" s="5">
        <v>4</v>
      </c>
      <c r="Z6" s="5" t="s">
        <v>19</v>
      </c>
      <c r="AA6" s="5">
        <v>16</v>
      </c>
      <c r="AB6" s="5">
        <v>18</v>
      </c>
      <c r="AC6" s="5">
        <v>40</v>
      </c>
      <c r="AE6" s="8"/>
    </row>
    <row r="7" spans="1:34" ht="18" customHeight="1" thickTop="1">
      <c r="A7" s="29"/>
      <c r="B7" s="55"/>
      <c r="C7" s="56"/>
      <c r="D7" s="56"/>
      <c r="E7" s="56"/>
      <c r="F7" s="56"/>
      <c r="G7" s="56"/>
      <c r="H7" s="15"/>
      <c r="I7" s="15"/>
      <c r="J7" s="15"/>
      <c r="K7" s="15"/>
      <c r="L7" s="15"/>
      <c r="M7" s="1"/>
      <c r="N7" s="9"/>
      <c r="O7" s="3"/>
      <c r="P7" s="3"/>
      <c r="Q7" s="3"/>
      <c r="R7" s="3"/>
      <c r="S7" s="3"/>
      <c r="T7" s="3"/>
      <c r="U7" s="3"/>
      <c r="V7" s="3"/>
      <c r="W7" s="7"/>
      <c r="X7" s="7"/>
      <c r="AE7" s="8"/>
    </row>
    <row r="8" spans="1:34" s="25" customFormat="1" ht="15.75" customHeight="1">
      <c r="A8" s="30" t="s">
        <v>5</v>
      </c>
      <c r="B8" s="30"/>
      <c r="C8" s="31"/>
      <c r="D8" s="31"/>
      <c r="E8" s="31"/>
      <c r="F8" s="31"/>
      <c r="G8" s="31"/>
      <c r="H8" s="31"/>
      <c r="I8" s="32"/>
      <c r="J8" s="32"/>
      <c r="K8" s="57"/>
      <c r="L8" s="57"/>
      <c r="M8" s="47"/>
      <c r="N8" s="32"/>
      <c r="O8" s="32"/>
      <c r="P8" s="32"/>
      <c r="Q8" s="32"/>
      <c r="R8" s="32"/>
      <c r="S8" s="32"/>
      <c r="T8" s="32"/>
      <c r="U8" s="32"/>
      <c r="V8" s="32"/>
      <c r="W8" s="24"/>
      <c r="X8" s="24"/>
      <c r="Y8" s="25">
        <v>5</v>
      </c>
      <c r="Z8" s="25" t="s">
        <v>18</v>
      </c>
      <c r="AA8" s="25">
        <v>16</v>
      </c>
      <c r="AB8" s="25">
        <v>18</v>
      </c>
      <c r="AC8" s="25">
        <v>40</v>
      </c>
      <c r="AE8" s="58"/>
      <c r="AF8" s="59"/>
      <c r="AG8" s="59"/>
      <c r="AH8" s="59"/>
    </row>
    <row r="9" spans="1:34" s="25" customFormat="1" ht="15.75" customHeight="1" thickBot="1">
      <c r="A9" s="127" t="s">
        <v>33</v>
      </c>
      <c r="B9" s="128"/>
      <c r="C9" s="128"/>
      <c r="D9" s="129" t="s">
        <v>30</v>
      </c>
      <c r="E9" s="130"/>
      <c r="F9" s="33"/>
      <c r="G9" s="107" t="s">
        <v>53</v>
      </c>
      <c r="H9" s="19" t="s">
        <v>50</v>
      </c>
      <c r="I9" s="19" t="s">
        <v>7</v>
      </c>
      <c r="J9" s="19" t="s">
        <v>31</v>
      </c>
      <c r="K9" s="68"/>
      <c r="L9" s="68"/>
      <c r="M9" s="19" t="s">
        <v>48</v>
      </c>
      <c r="Q9" s="68"/>
      <c r="R9" s="68"/>
      <c r="S9" s="68"/>
      <c r="T9" s="32"/>
      <c r="U9" s="32"/>
      <c r="V9" s="57"/>
      <c r="W9" s="24"/>
      <c r="X9" s="24"/>
      <c r="AE9" s="58"/>
      <c r="AF9" s="59"/>
      <c r="AG9" s="59"/>
      <c r="AH9" s="59"/>
    </row>
    <row r="10" spans="1:34" s="25" customFormat="1" ht="16.5" customHeight="1" thickTop="1" thickBot="1">
      <c r="A10" s="34" t="s">
        <v>23</v>
      </c>
      <c r="B10" s="35">
        <v>0</v>
      </c>
      <c r="C10" s="36" t="s">
        <v>17</v>
      </c>
      <c r="D10" s="37">
        <v>2.0880000000000001</v>
      </c>
      <c r="E10" s="37">
        <v>2.0409999999999999</v>
      </c>
      <c r="F10" s="38">
        <f>AVERAGE(D10:E10)</f>
        <v>2.0644999999999998</v>
      </c>
      <c r="G10" s="112">
        <f>F10/$F$10</f>
        <v>1</v>
      </c>
      <c r="H10" s="39">
        <f>(AVERAGE(D10:E10)-AVERAGE($D$17:$E$17))/(AVERAGE($D$10:$E$10)-AVERAGE($D$17:$E$17))</f>
        <v>1</v>
      </c>
      <c r="I10" s="40">
        <f>IF(OR(D10="",E10=""),"",IF(D10=E10,"0,00%",STDEV(D10:E10)/AVERAGE(D10:E10)))</f>
        <v>1.6097853579931144E-2</v>
      </c>
      <c r="J10" s="41"/>
      <c r="K10" s="53"/>
      <c r="L10" s="53"/>
      <c r="M10" s="60"/>
      <c r="N10" s="61"/>
      <c r="Q10" s="62"/>
      <c r="R10" s="62"/>
      <c r="S10" s="62"/>
      <c r="T10" s="32"/>
      <c r="U10" s="32"/>
      <c r="V10" s="57"/>
      <c r="W10" s="24"/>
      <c r="X10" s="24"/>
      <c r="AD10" s="58"/>
      <c r="AE10" s="63"/>
      <c r="AF10" s="64"/>
      <c r="AG10" s="64"/>
      <c r="AH10" s="64"/>
    </row>
    <row r="11" spans="1:34" s="25" customFormat="1" ht="16.5" customHeight="1" thickTop="1" thickBot="1">
      <c r="A11" s="42" t="s">
        <v>24</v>
      </c>
      <c r="B11" s="43">
        <v>0.125</v>
      </c>
      <c r="C11" s="36" t="s">
        <v>17</v>
      </c>
      <c r="D11" s="37">
        <v>1.639</v>
      </c>
      <c r="E11" s="37">
        <v>1.627</v>
      </c>
      <c r="F11" s="38">
        <f>AVERAGE(D11:E11)</f>
        <v>1.633</v>
      </c>
      <c r="G11" s="113">
        <f>F11/$F$10</f>
        <v>0.79099055461370804</v>
      </c>
      <c r="H11" s="39">
        <f>(AVERAGE(D11:E11)-AVERAGE($D$17:$E$17))/(AVERAGE($D$10:$E$10)-AVERAGE($D$17:$E$17))</f>
        <v>0.78628033680039633</v>
      </c>
      <c r="I11" s="40">
        <f>IF(OR(D11="",E11=""),"",IF(D11=E11,"0,00%",STDEV(D11:E11)/AVERAGE(D11:E11)))</f>
        <v>5.1961306639550387E-3</v>
      </c>
      <c r="J11" s="41">
        <f>LOG(B11)</f>
        <v>-0.90308998699194354</v>
      </c>
      <c r="K11" s="51"/>
      <c r="L11" s="51"/>
      <c r="M11" s="95">
        <f>IF($E$16="","",LOG((F11-$F$17)/($F$10-F11)))</f>
        <v>0.56573293391278512</v>
      </c>
      <c r="N11" s="61">
        <v>0.1</v>
      </c>
      <c r="O11" s="25">
        <v>0</v>
      </c>
      <c r="Q11" s="62"/>
      <c r="R11" s="62"/>
      <c r="S11" s="62"/>
      <c r="T11" s="32"/>
      <c r="U11" s="32"/>
      <c r="V11" s="65"/>
      <c r="W11" s="24"/>
      <c r="X11" s="24"/>
      <c r="AD11" s="58"/>
      <c r="AE11" s="63"/>
      <c r="AF11" s="64"/>
      <c r="AG11" s="64"/>
      <c r="AH11" s="64"/>
    </row>
    <row r="12" spans="1:34" s="25" customFormat="1" ht="16.5" customHeight="1" thickTop="1" thickBot="1">
      <c r="A12" s="42" t="s">
        <v>25</v>
      </c>
      <c r="B12" s="43">
        <v>0.25</v>
      </c>
      <c r="C12" s="36" t="s">
        <v>17</v>
      </c>
      <c r="D12" s="37">
        <v>1.2350000000000001</v>
      </c>
      <c r="E12" s="37">
        <v>1.3420000000000001</v>
      </c>
      <c r="F12" s="38">
        <f>AVERAGE(D12:E12)</f>
        <v>1.2885</v>
      </c>
      <c r="G12" s="113">
        <f t="shared" ref="G11:G16" si="0">F12/$F$10</f>
        <v>0.62412206345362076</v>
      </c>
      <c r="H12" s="39">
        <f>(AVERAGE(D12:E12)-AVERAGE($D$17:$E$17))/(AVERAGE($D$10:$E$10)-AVERAGE($D$17:$E$17))</f>
        <v>0.61565131253095595</v>
      </c>
      <c r="I12" s="40">
        <f>IF(OR(D12="",E12=""),"",IF(D12=E12,"0,00%",STDEV(D12:E12)/AVERAGE(D12:E12)))</f>
        <v>5.87197715071483E-2</v>
      </c>
      <c r="J12" s="41">
        <f>LOG(B12)</f>
        <v>-0.6020599913279624</v>
      </c>
      <c r="K12" s="51"/>
      <c r="L12" s="51"/>
      <c r="M12" s="95">
        <f t="shared" ref="M12:M16" si="1">IF($E$16="","",LOG((F12-$F$17)/($F$10-F12)))</f>
        <v>0.2046094073834564</v>
      </c>
      <c r="N12" s="61">
        <v>10</v>
      </c>
      <c r="O12" s="25">
        <v>0</v>
      </c>
      <c r="Q12" s="62"/>
      <c r="R12" s="62"/>
      <c r="S12" s="62"/>
      <c r="T12" s="32"/>
      <c r="U12" s="32"/>
      <c r="V12" s="65"/>
      <c r="W12" s="24"/>
      <c r="X12" s="24"/>
      <c r="AD12" s="58"/>
      <c r="AE12" s="63"/>
      <c r="AF12" s="64"/>
      <c r="AG12" s="64"/>
      <c r="AH12" s="64"/>
    </row>
    <row r="13" spans="1:34" s="25" customFormat="1" ht="16.5" customHeight="1" thickTop="1" thickBot="1">
      <c r="A13" s="42" t="s">
        <v>26</v>
      </c>
      <c r="B13" s="43">
        <v>0.5</v>
      </c>
      <c r="C13" s="36" t="s">
        <v>17</v>
      </c>
      <c r="D13" s="37">
        <v>1.016</v>
      </c>
      <c r="E13" s="37">
        <v>0.93600000000000005</v>
      </c>
      <c r="F13" s="38">
        <f t="shared" ref="F10:F17" si="2">AVERAGE(D13:E13)</f>
        <v>0.97599999999999998</v>
      </c>
      <c r="G13" s="113">
        <f>F13/$F$10</f>
        <v>0.47275369338822965</v>
      </c>
      <c r="H13" s="39">
        <f>(AVERAGE(D13:E13)-AVERAGE($D$17:$E$17))/(AVERAGE($D$10:$E$10)-AVERAGE($D$17:$E$17))</f>
        <v>0.46087171867261029</v>
      </c>
      <c r="I13" s="40">
        <f>IF(OR(D13="",E13=""),"",IF(D13=E13,"0,00%",STDEV(D13:E13)/AVERAGE(D13:E13)))</f>
        <v>5.7959572228405511E-2</v>
      </c>
      <c r="J13" s="41">
        <f t="shared" ref="J13:J15" si="3">LOG(B13)</f>
        <v>-0.3010299956639812</v>
      </c>
      <c r="K13" s="51"/>
      <c r="L13" s="51"/>
      <c r="M13" s="95">
        <f t="shared" si="1"/>
        <v>-6.8112055910327235E-2</v>
      </c>
      <c r="N13" s="61"/>
      <c r="Q13" s="62"/>
      <c r="R13" s="62"/>
      <c r="S13" s="62"/>
      <c r="T13" s="32"/>
      <c r="U13" s="32"/>
      <c r="V13" s="65"/>
      <c r="W13" s="24"/>
      <c r="X13" s="24"/>
      <c r="AD13" s="58"/>
      <c r="AE13" s="63"/>
      <c r="AF13" s="64"/>
      <c r="AG13" s="64"/>
      <c r="AH13" s="64"/>
    </row>
    <row r="14" spans="1:34" s="25" customFormat="1" ht="16.5" customHeight="1" thickTop="1" thickBot="1">
      <c r="A14" s="44" t="s">
        <v>27</v>
      </c>
      <c r="B14" s="45">
        <v>1</v>
      </c>
      <c r="C14" s="36" t="s">
        <v>17</v>
      </c>
      <c r="D14" s="37">
        <v>0.56100000000000005</v>
      </c>
      <c r="E14" s="37">
        <v>0.60599999999999998</v>
      </c>
      <c r="F14" s="38">
        <f t="shared" si="2"/>
        <v>0.58350000000000002</v>
      </c>
      <c r="G14" s="113">
        <f>F14/$F$10</f>
        <v>0.28263502058609835</v>
      </c>
      <c r="H14" s="39">
        <f>(AVERAGE(D14:E14)-AVERAGE($D$17:$E$17))/(AVERAGE($D$10:$E$10)-AVERAGE($D$17:$E$17))</f>
        <v>0.26646854878652804</v>
      </c>
      <c r="I14" s="40">
        <f t="shared" ref="I14" si="4">IF(OR(D14="",E14=""),"",IF(D14=E14,"0,00%",STDEV(D14:E14)/AVERAGE(D14:E14)))</f>
        <v>5.4532656646777353E-2</v>
      </c>
      <c r="J14" s="41">
        <f t="shared" si="3"/>
        <v>0</v>
      </c>
      <c r="K14" s="51"/>
      <c r="L14" s="51"/>
      <c r="M14" s="95">
        <f t="shared" si="1"/>
        <v>-0.43977278285481919</v>
      </c>
      <c r="N14" s="61"/>
      <c r="Q14" s="62"/>
      <c r="R14" s="62"/>
      <c r="S14" s="62"/>
      <c r="T14" s="32"/>
      <c r="U14" s="32"/>
      <c r="V14" s="65"/>
      <c r="W14" s="24"/>
      <c r="X14" s="24"/>
      <c r="AD14" s="58"/>
      <c r="AE14" s="64"/>
      <c r="AF14" s="64"/>
      <c r="AG14" s="64"/>
      <c r="AH14" s="64"/>
    </row>
    <row r="15" spans="1:34" s="25" customFormat="1" ht="16.5" customHeight="1" thickTop="1" thickBot="1">
      <c r="A15" s="44" t="s">
        <v>28</v>
      </c>
      <c r="B15" s="45">
        <v>2</v>
      </c>
      <c r="C15" s="36" t="s">
        <v>17</v>
      </c>
      <c r="D15" s="37">
        <v>0.35199999999999998</v>
      </c>
      <c r="E15" s="37">
        <v>0.38</v>
      </c>
      <c r="F15" s="38">
        <f t="shared" si="2"/>
        <v>0.36599999999999999</v>
      </c>
      <c r="G15" s="113">
        <f t="shared" si="0"/>
        <v>0.17728263502058611</v>
      </c>
      <c r="H15" s="39">
        <f>(AVERAGE(D15:E15)-AVERAGE($D$17:$E$17))/(AVERAGE($D$10:$E$10)-AVERAGE($D$17:$E$17))</f>
        <v>0.15874195146111938</v>
      </c>
      <c r="I15" s="40">
        <f>IF(OR(D15="",E15=""),"",IF(D15=E15,"0,00%",STDEV(D15:E15)/AVERAGE(D15:E15)))</f>
        <v>5.4095600746511881E-2</v>
      </c>
      <c r="J15" s="41">
        <f t="shared" si="3"/>
        <v>0.3010299956639812</v>
      </c>
      <c r="K15" s="51"/>
      <c r="L15" s="51"/>
      <c r="M15" s="95">
        <f t="shared" si="1"/>
        <v>-0.72423751735121045</v>
      </c>
      <c r="N15" s="61"/>
      <c r="Q15" s="65"/>
      <c r="R15" s="65"/>
      <c r="S15" s="65"/>
      <c r="T15" s="32"/>
      <c r="U15" s="32"/>
      <c r="V15" s="65"/>
      <c r="W15" s="24"/>
      <c r="X15" s="24"/>
      <c r="AD15" s="58"/>
      <c r="AE15" s="64"/>
      <c r="AF15" s="64"/>
      <c r="AG15" s="64"/>
      <c r="AH15" s="64"/>
    </row>
    <row r="16" spans="1:34" s="25" customFormat="1" ht="16.5" customHeight="1" thickTop="1" thickBot="1">
      <c r="A16" s="44" t="s">
        <v>29</v>
      </c>
      <c r="B16" s="45">
        <v>4</v>
      </c>
      <c r="C16" s="36" t="s">
        <v>17</v>
      </c>
      <c r="D16" s="37">
        <v>0.23</v>
      </c>
      <c r="E16" s="37">
        <v>0.23400000000000001</v>
      </c>
      <c r="F16" s="38">
        <f t="shared" si="2"/>
        <v>0.23200000000000001</v>
      </c>
      <c r="G16" s="113">
        <f t="shared" si="0"/>
        <v>0.1123758779365464</v>
      </c>
      <c r="H16" s="39">
        <f t="shared" ref="H10:H16" si="5">(AVERAGE(D16:E16)-AVERAGE($D$17:$E$17))/(AVERAGE($D$10:$E$10)-AVERAGE($D$17:$E$17))</f>
        <v>9.2372461614660742E-2</v>
      </c>
      <c r="I16" s="40">
        <f>IF(OR(D16="",E16=""),"",IF(D16=E16,"0,00%",STDEV(D16:E16)/AVERAGE(D16:E16)))</f>
        <v>1.2191496227354277E-2</v>
      </c>
      <c r="J16" s="41">
        <f>LOG(B16)</f>
        <v>0.6020599913279624</v>
      </c>
      <c r="K16" s="51"/>
      <c r="L16" s="51"/>
      <c r="M16" s="95">
        <f t="shared" si="1"/>
        <v>-0.99236514716845914</v>
      </c>
      <c r="N16" s="61"/>
      <c r="Q16" s="65"/>
      <c r="R16" s="65"/>
      <c r="S16" s="65"/>
      <c r="T16" s="32"/>
      <c r="U16" s="32"/>
      <c r="V16" s="65"/>
      <c r="W16" s="24"/>
      <c r="X16" s="24"/>
      <c r="AD16" s="58"/>
      <c r="AE16" s="64"/>
      <c r="AF16" s="64"/>
      <c r="AG16" s="64"/>
      <c r="AH16" s="64"/>
    </row>
    <row r="17" spans="1:34" s="25" customFormat="1" ht="16.5" customHeight="1" thickTop="1" thickBot="1">
      <c r="A17" s="143" t="s">
        <v>16</v>
      </c>
      <c r="B17" s="144"/>
      <c r="C17" s="144"/>
      <c r="D17" s="46">
        <v>4.3999999999999997E-2</v>
      </c>
      <c r="E17" s="46">
        <v>4.7E-2</v>
      </c>
      <c r="F17" s="38">
        <f t="shared" si="2"/>
        <v>4.5499999999999999E-2</v>
      </c>
      <c r="G17" s="109"/>
      <c r="J17" s="47"/>
      <c r="K17" s="47"/>
      <c r="L17" s="47"/>
      <c r="M17" s="66" t="e">
        <f t="shared" ref="M17" si="6">IF($E$16="","",LOG((F17-$F$17)/($F$10-F17)))</f>
        <v>#NUM!</v>
      </c>
      <c r="O17" s="67"/>
      <c r="P17" s="32"/>
      <c r="Q17" s="32"/>
      <c r="R17" s="32"/>
      <c r="S17" s="32"/>
      <c r="T17" s="32"/>
      <c r="U17" s="32"/>
      <c r="V17" s="24"/>
      <c r="W17" s="24"/>
      <c r="AC17" s="58"/>
      <c r="AD17" s="64"/>
      <c r="AE17" s="64"/>
      <c r="AF17" s="64"/>
      <c r="AG17" s="64"/>
    </row>
    <row r="18" spans="1:34" s="25" customFormat="1" ht="15.75" customHeight="1" thickTop="1">
      <c r="A18" s="48"/>
      <c r="B18" s="48"/>
      <c r="C18" s="48"/>
      <c r="D18" s="49"/>
      <c r="E18" s="49"/>
      <c r="F18" s="49"/>
      <c r="G18" s="49"/>
      <c r="H18" s="50" t="s">
        <v>8</v>
      </c>
      <c r="I18" s="51">
        <f>IF(E16="","",CORREL(M11:M16,J11:J16))</f>
        <v>-0.99872941466558418</v>
      </c>
      <c r="J18" s="114"/>
      <c r="K18" s="47"/>
      <c r="L18" s="47"/>
      <c r="O18" s="67"/>
      <c r="P18" s="32"/>
      <c r="Q18" s="32"/>
      <c r="R18" s="32"/>
      <c r="S18" s="32"/>
      <c r="T18" s="32"/>
      <c r="U18" s="32"/>
      <c r="V18" s="24"/>
      <c r="W18" s="24"/>
      <c r="AC18" s="58"/>
      <c r="AD18" s="64"/>
      <c r="AE18" s="64"/>
      <c r="AF18" s="64"/>
      <c r="AG18" s="64"/>
    </row>
    <row r="19" spans="1:34" s="25" customFormat="1" ht="15.75" customHeight="1">
      <c r="A19" s="32"/>
      <c r="B19" s="32"/>
      <c r="C19" s="32"/>
      <c r="D19" s="32"/>
      <c r="E19" s="32"/>
      <c r="F19" s="32"/>
      <c r="G19" s="32"/>
      <c r="H19" s="52" t="s">
        <v>32</v>
      </c>
      <c r="I19" s="53">
        <f>IF(E16="","",10^(-INTERCEPT(M11:M16,J11:J16)/SLOPE(M11:M16,J11:J16)))</f>
        <v>0.41329639521846262</v>
      </c>
      <c r="J19" s="54" t="s">
        <v>17</v>
      </c>
      <c r="K19" s="54"/>
      <c r="L19" s="54"/>
      <c r="M19" s="47"/>
      <c r="P19" s="32"/>
      <c r="Q19" s="32"/>
      <c r="R19" s="32"/>
      <c r="S19" s="32"/>
      <c r="T19" s="32"/>
      <c r="U19" s="32"/>
      <c r="V19" s="24"/>
      <c r="W19" s="24"/>
      <c r="AC19" s="58"/>
      <c r="AD19" s="64"/>
      <c r="AE19" s="64"/>
      <c r="AF19" s="64"/>
      <c r="AG19" s="64"/>
    </row>
    <row r="20" spans="1:34" s="25" customFormat="1" ht="15.75" customHeight="1" thickBot="1">
      <c r="A20" s="69" t="s">
        <v>36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24"/>
      <c r="X20" s="24"/>
      <c r="AE20" s="26"/>
      <c r="AF20" s="64"/>
      <c r="AG20" s="64"/>
      <c r="AH20" s="64"/>
    </row>
    <row r="21" spans="1:34" s="25" customFormat="1" ht="72" customHeight="1">
      <c r="A21" s="19" t="s">
        <v>9</v>
      </c>
      <c r="B21" s="140" t="s">
        <v>10</v>
      </c>
      <c r="C21" s="140"/>
      <c r="D21" s="141" t="s">
        <v>34</v>
      </c>
      <c r="E21" s="142"/>
      <c r="F21" s="20"/>
      <c r="G21" s="108"/>
      <c r="H21" s="21" t="s">
        <v>21</v>
      </c>
      <c r="I21" s="21" t="s">
        <v>20</v>
      </c>
      <c r="J21" s="21" t="s">
        <v>46</v>
      </c>
      <c r="K21" s="21" t="s">
        <v>47</v>
      </c>
      <c r="L21" s="21"/>
      <c r="M21" s="83" t="s">
        <v>48</v>
      </c>
      <c r="N21" s="21" t="s">
        <v>7</v>
      </c>
      <c r="O21" s="21" t="s">
        <v>38</v>
      </c>
      <c r="P21" s="22"/>
      <c r="Q21" s="27" t="s">
        <v>22</v>
      </c>
      <c r="R21" s="100"/>
      <c r="S21" s="100"/>
      <c r="T21" s="115" t="s">
        <v>49</v>
      </c>
      <c r="U21" s="116"/>
      <c r="V21" s="23" t="s">
        <v>44</v>
      </c>
      <c r="W21" s="24"/>
      <c r="X21" s="16"/>
      <c r="AE21" s="26"/>
      <c r="AF21" s="26"/>
      <c r="AG21" s="26"/>
      <c r="AH21" s="26"/>
    </row>
    <row r="22" spans="1:34" s="25" customFormat="1" ht="16.5" customHeight="1">
      <c r="A22" s="28" t="s">
        <v>23</v>
      </c>
      <c r="B22" s="117" t="s">
        <v>6</v>
      </c>
      <c r="C22" s="117"/>
      <c r="D22" s="118"/>
      <c r="E22" s="119"/>
      <c r="F22" s="70"/>
      <c r="G22" s="106"/>
      <c r="H22" s="71"/>
      <c r="I22" s="85">
        <f t="shared" ref="I22:I28" si="7">AVERAGE(D10:E10)</f>
        <v>2.0644999999999998</v>
      </c>
      <c r="J22" s="87">
        <f t="shared" ref="J22:J27" si="8">I22-AVERAGEA($D$17:$E$17)</f>
        <v>2.0189999999999997</v>
      </c>
      <c r="K22" s="88"/>
      <c r="L22" s="88"/>
      <c r="M22" s="41"/>
      <c r="N22" s="41"/>
      <c r="O22" s="41"/>
      <c r="P22" s="72"/>
      <c r="Q22" s="72"/>
      <c r="R22" s="98"/>
      <c r="S22" s="98"/>
      <c r="T22" s="97"/>
      <c r="U22" s="99"/>
      <c r="V22" s="73"/>
      <c r="X22" s="24"/>
      <c r="AE22" s="26"/>
      <c r="AF22" s="26"/>
      <c r="AG22" s="26"/>
      <c r="AH22" s="26"/>
    </row>
    <row r="23" spans="1:34" s="25" customFormat="1" ht="16.5" customHeight="1">
      <c r="A23" s="28" t="s">
        <v>24</v>
      </c>
      <c r="B23" s="117" t="s">
        <v>6</v>
      </c>
      <c r="C23" s="117"/>
      <c r="D23" s="118"/>
      <c r="E23" s="119"/>
      <c r="F23" s="70"/>
      <c r="G23" s="106"/>
      <c r="H23" s="71"/>
      <c r="I23" s="85">
        <f t="shared" si="7"/>
        <v>1.633</v>
      </c>
      <c r="J23" s="87">
        <f t="shared" si="8"/>
        <v>1.5874999999999999</v>
      </c>
      <c r="K23" s="88"/>
      <c r="L23" s="41"/>
      <c r="M23" s="41">
        <f>IF(I23="","",IF(J23="B'&gt;B0","",LOG((J23)/($F$10-I23))))</f>
        <v>0.56573293391278512</v>
      </c>
      <c r="N23" s="41"/>
      <c r="O23" s="41">
        <f t="shared" ref="O23:O27" si="9">10^((M23-INTERCEPT($M$11:$M$16,$J$11:$J$16))/SLOPE($M$11:$M$16,$J$11:$J$16))</f>
        <v>0.11799141981722724</v>
      </c>
      <c r="P23" s="72"/>
      <c r="Q23" s="72"/>
      <c r="R23" s="98"/>
      <c r="S23" s="98"/>
      <c r="T23" s="131">
        <f>ROUND(O23,2)</f>
        <v>0.12</v>
      </c>
      <c r="U23" s="132"/>
      <c r="V23" s="73"/>
      <c r="X23" s="24"/>
      <c r="AE23" s="26"/>
      <c r="AF23" s="26"/>
      <c r="AG23" s="26"/>
      <c r="AH23" s="26"/>
    </row>
    <row r="24" spans="1:34" s="25" customFormat="1" ht="16.5" customHeight="1">
      <c r="A24" s="28" t="s">
        <v>25</v>
      </c>
      <c r="B24" s="117" t="s">
        <v>6</v>
      </c>
      <c r="C24" s="117"/>
      <c r="D24" s="118"/>
      <c r="E24" s="119"/>
      <c r="F24" s="70"/>
      <c r="G24" s="106"/>
      <c r="H24" s="71"/>
      <c r="I24" s="85">
        <f t="shared" si="7"/>
        <v>1.2885</v>
      </c>
      <c r="J24" s="87">
        <f t="shared" si="8"/>
        <v>1.2429999999999999</v>
      </c>
      <c r="K24" s="88"/>
      <c r="L24" s="41"/>
      <c r="M24" s="41">
        <f t="shared" ref="M24:M28" si="10">IF(I24="","",IF(J24="B'&gt;B0","",LOG((J24)/($F$10-I24))))</f>
        <v>0.2046094073834564</v>
      </c>
      <c r="N24" s="41"/>
      <c r="O24" s="41">
        <f t="shared" si="9"/>
        <v>0.26264169608298682</v>
      </c>
      <c r="P24" s="72"/>
      <c r="Q24" s="72"/>
      <c r="R24" s="98"/>
      <c r="S24" s="98"/>
      <c r="T24" s="131">
        <f t="shared" ref="T24:T28" si="11">ROUND(O24,2)</f>
        <v>0.26</v>
      </c>
      <c r="U24" s="132"/>
      <c r="V24" s="73"/>
      <c r="X24" s="24"/>
      <c r="AE24" s="26"/>
      <c r="AF24" s="26"/>
      <c r="AG24" s="26"/>
      <c r="AH24" s="26"/>
    </row>
    <row r="25" spans="1:34" s="25" customFormat="1" ht="16.5" customHeight="1">
      <c r="A25" s="28" t="s">
        <v>26</v>
      </c>
      <c r="B25" s="117" t="s">
        <v>6</v>
      </c>
      <c r="C25" s="117"/>
      <c r="D25" s="118"/>
      <c r="E25" s="119"/>
      <c r="F25" s="70"/>
      <c r="G25" s="106"/>
      <c r="H25" s="71"/>
      <c r="I25" s="85">
        <f t="shared" si="7"/>
        <v>0.97599999999999998</v>
      </c>
      <c r="J25" s="87">
        <f t="shared" si="8"/>
        <v>0.93049999999999999</v>
      </c>
      <c r="K25" s="88"/>
      <c r="L25" s="41"/>
      <c r="M25" s="41">
        <f t="shared" si="10"/>
        <v>-6.8112055910327235E-2</v>
      </c>
      <c r="N25" s="41"/>
      <c r="O25" s="41">
        <f t="shared" si="9"/>
        <v>0.48062528852421588</v>
      </c>
      <c r="P25" s="72"/>
      <c r="Q25" s="72"/>
      <c r="R25" s="98"/>
      <c r="S25" s="98"/>
      <c r="T25" s="131">
        <f t="shared" si="11"/>
        <v>0.48</v>
      </c>
      <c r="U25" s="132"/>
      <c r="V25" s="73"/>
      <c r="X25" s="16"/>
      <c r="AE25" s="24"/>
      <c r="AF25" s="24"/>
      <c r="AG25" s="24"/>
      <c r="AH25" s="24"/>
    </row>
    <row r="26" spans="1:34" s="25" customFormat="1" ht="16.5" customHeight="1">
      <c r="A26" s="28" t="s">
        <v>27</v>
      </c>
      <c r="B26" s="117" t="s">
        <v>6</v>
      </c>
      <c r="C26" s="117"/>
      <c r="D26" s="118"/>
      <c r="E26" s="119"/>
      <c r="F26" s="70"/>
      <c r="G26" s="106"/>
      <c r="H26" s="71"/>
      <c r="I26" s="85">
        <f t="shared" si="7"/>
        <v>0.58350000000000002</v>
      </c>
      <c r="J26" s="87">
        <f t="shared" si="8"/>
        <v>0.53800000000000003</v>
      </c>
      <c r="K26" s="88"/>
      <c r="L26" s="41"/>
      <c r="M26" s="41">
        <f t="shared" si="10"/>
        <v>-0.43977278285481919</v>
      </c>
      <c r="N26" s="41"/>
      <c r="O26" s="41">
        <f t="shared" si="9"/>
        <v>1.0951155153269656</v>
      </c>
      <c r="P26" s="72"/>
      <c r="Q26" s="72"/>
      <c r="R26" s="98"/>
      <c r="S26" s="98"/>
      <c r="T26" s="131">
        <f t="shared" si="11"/>
        <v>1.1000000000000001</v>
      </c>
      <c r="U26" s="132"/>
      <c r="V26" s="73"/>
      <c r="X26" s="24"/>
      <c r="AE26" s="24"/>
      <c r="AF26" s="24"/>
      <c r="AG26" s="24"/>
      <c r="AH26" s="24"/>
    </row>
    <row r="27" spans="1:34" s="25" customFormat="1" ht="16.5" customHeight="1">
      <c r="A27" s="28" t="s">
        <v>28</v>
      </c>
      <c r="B27" s="117" t="s">
        <v>6</v>
      </c>
      <c r="C27" s="117"/>
      <c r="D27" s="118"/>
      <c r="E27" s="119"/>
      <c r="F27" s="70"/>
      <c r="G27" s="106"/>
      <c r="H27" s="71"/>
      <c r="I27" s="85">
        <f t="shared" si="7"/>
        <v>0.36599999999999999</v>
      </c>
      <c r="J27" s="87">
        <f t="shared" si="8"/>
        <v>0.32050000000000001</v>
      </c>
      <c r="K27" s="88"/>
      <c r="L27" s="41"/>
      <c r="M27" s="41">
        <f t="shared" si="10"/>
        <v>-0.72423751735121045</v>
      </c>
      <c r="N27" s="41"/>
      <c r="O27" s="41">
        <f t="shared" si="9"/>
        <v>2.0568544375713054</v>
      </c>
      <c r="P27" s="72"/>
      <c r="Q27" s="72"/>
      <c r="R27" s="98"/>
      <c r="S27" s="98"/>
      <c r="T27" s="131">
        <f t="shared" si="11"/>
        <v>2.06</v>
      </c>
      <c r="U27" s="132"/>
      <c r="V27" s="73"/>
      <c r="X27" s="24"/>
      <c r="AE27" s="24"/>
      <c r="AF27" s="24"/>
      <c r="AG27" s="24"/>
      <c r="AH27" s="24"/>
    </row>
    <row r="28" spans="1:34" s="25" customFormat="1" ht="16.5" customHeight="1">
      <c r="A28" s="28" t="s">
        <v>29</v>
      </c>
      <c r="B28" s="117" t="s">
        <v>6</v>
      </c>
      <c r="C28" s="117"/>
      <c r="D28" s="118"/>
      <c r="E28" s="119"/>
      <c r="F28" s="70"/>
      <c r="G28" s="106"/>
      <c r="H28" s="71"/>
      <c r="I28" s="85">
        <f t="shared" si="7"/>
        <v>0.23200000000000001</v>
      </c>
      <c r="J28" s="87">
        <f>I28-AVERAGEA($D$17:$E$17)</f>
        <v>0.1865</v>
      </c>
      <c r="K28" s="88"/>
      <c r="L28" s="41"/>
      <c r="M28" s="41">
        <f t="shared" si="10"/>
        <v>-0.99236514716845914</v>
      </c>
      <c r="N28" s="41"/>
      <c r="O28" s="41">
        <f>10^((M28-INTERCEPT($M$11:$M$16,$J$11:$J$16))/SLOPE($M$11:$M$16,$J$11:$J$16))</f>
        <v>3.7258537507346823</v>
      </c>
      <c r="P28" s="72"/>
      <c r="Q28" s="72"/>
      <c r="R28" s="101"/>
      <c r="S28" s="101"/>
      <c r="T28" s="131">
        <f t="shared" si="11"/>
        <v>3.73</v>
      </c>
      <c r="U28" s="132"/>
      <c r="V28" s="73"/>
      <c r="X28" s="24"/>
      <c r="AE28" s="24"/>
      <c r="AF28" s="24"/>
      <c r="AG28" s="24"/>
      <c r="AH28" s="24"/>
    </row>
    <row r="29" spans="1:34" s="25" customFormat="1" ht="18" customHeight="1" thickBot="1">
      <c r="H29" s="74"/>
      <c r="J29" s="89"/>
      <c r="K29" s="89"/>
      <c r="L29" s="89"/>
      <c r="M29" s="90"/>
      <c r="N29" s="90"/>
      <c r="O29" s="90"/>
      <c r="P29" s="90"/>
      <c r="Q29" s="90"/>
      <c r="R29" s="90"/>
      <c r="S29" s="90"/>
      <c r="T29" s="91"/>
      <c r="U29" s="91"/>
      <c r="V29" s="92"/>
      <c r="W29" s="75"/>
      <c r="X29" s="76"/>
    </row>
    <row r="30" spans="1:34" s="25" customFormat="1" ht="16.5" customHeight="1" thickTop="1" thickBot="1">
      <c r="A30" s="129">
        <v>1</v>
      </c>
      <c r="B30" s="153"/>
      <c r="C30" s="153"/>
      <c r="D30" s="154" t="s">
        <v>4</v>
      </c>
      <c r="E30" s="154"/>
      <c r="F30" s="77"/>
      <c r="G30" s="110"/>
      <c r="H30" s="147">
        <f t="shared" ref="H30" si="12">IF(D30="","",VLOOKUP(D30,$Z$3:$AC$6,4,FALSE))</f>
        <v>8</v>
      </c>
      <c r="I30" s="86">
        <v>0.5</v>
      </c>
      <c r="J30" s="93">
        <f>IF(I30="","",IF(I30&gt;AVERAGE($D$10:$E$10),"B'&gt;B0",I30-$F$17))</f>
        <v>0.45450000000000002</v>
      </c>
      <c r="K30" s="94">
        <f>IF(OR(I30="",I30&gt;=$I$22),"",J30/($I$22-$F$17))</f>
        <v>0.22511144130757804</v>
      </c>
      <c r="L30" s="41"/>
      <c r="M30" s="41">
        <f>IF(I30="","",IF(OR(J30="B'&gt;B0",I30=$I$22),"",LOG((J30)/($F$10-I30))))</f>
        <v>-0.53684167992422582</v>
      </c>
      <c r="N30" s="149">
        <f>IF(OR(I31="",I30=""),"",IF(M30="","",STDEV(J30:J31)/AVERAGE(J30:J31)))</f>
        <v>5.9608580078950313E-2</v>
      </c>
      <c r="O30" s="41">
        <f>IF(M30="","",10^((M30-INTERCEPT($M$11:$M$16,$J$11:$J$16))/SLOPE($M$11:$M$16,$J$11:$J$16))*H30)</f>
        <v>10.863266019720049</v>
      </c>
      <c r="P30" s="78">
        <f>ABS(O30-O31)</f>
        <v>1.0934941339328468</v>
      </c>
      <c r="Q30" s="151" t="str">
        <f>IF(T30="","",IF(OR(V30="менее 1,00 мкг/кг",V30="менее 2,5 мкг/кг",V30="менее 0,16 мкг/кг",V30="более 32,00 мкг/кг",V30="более 160,0 мкг/кг",V30="более 8,00 мкг/кг"),"",IF(0.01*T30*P31&gt;P30,"приемлемы","неприемлемы")))</f>
        <v>приемлемы</v>
      </c>
      <c r="R30" s="102">
        <f t="shared" ref="R30" si="13">IF(O30="","",IF(OR(D30="мясо, рыба, субпродукты",D30="молочная сыворотка, творог, сыр, масло, сливки, кисломолочные продукты, мороженное"),ROUND(AVERAGE(O30:O31),1),ROUND(AVERAGE(O30:O31),2)))</f>
        <v>10.32</v>
      </c>
      <c r="S30" s="102">
        <f t="shared" ref="S30" si="14">IF(OR(I30="",I31=""),"",IF(OR(V30="менее 1,00 мкг/кг",V30="менее 2,5 мкг/кг",V30="менее 0,16 мкг/кг",V30="более 32,00 мкг/кг",V30="более 160,0 мкг/кг",V30="более 8,00 мкг/кг"),"",ROUND(0.01*T30*VLOOKUP(D30,$Z$3:$AC$6,3,FALSE),2)))</f>
        <v>1.65</v>
      </c>
      <c r="T30" s="158" t="str">
        <f>IF(OR(I30="",I31=""),"",IF(OR(V30="менее 1,00 мкг/кг",V30="менее 2,5 мкг/кг",V30="менее 0,16 мкг/кг",V30="более 32,00 мкг/кг",V30="более 160,0 мкг/кг",V30="более 8,00 мкг/кг"),"",IF(OR(D30="молоко, сухое молоко, детское питание",D30="молоко сгущенное"),TEXT(R30,"0,00"),TEXT(R31,"0,0"))))</f>
        <v>10,32</v>
      </c>
      <c r="U30" s="155" t="str">
        <f t="shared" ref="U30:U92" si="15">IF(S30="","",IF(OR(D30="молоко, сухое молоко, детское питание",D30="молоко сгущенное"),TEXT(S30,"±0,00"),TEXT(S31,"±0,0")))</f>
        <v>±1,65</v>
      </c>
      <c r="V30" s="145" t="str">
        <f>IF(I30="","",IF(AND(D30="мясо, рыба, субпродукты",OR(R30&lt;2.5,I30&gt;=$I$22,I31&gt;=$I$22)),"менее 2,5 мкг/кг",IF(AND(D30="мясо, рыба, субпродукты",R30&gt;160,R30&lt;&gt;""),"более 160,0 мкг/кг",IF(AND(D30="молоко сгущенное",OR(R30&lt;1,I30&gt;=$I$22,I31&gt;=$I$22)),"менее 1,00 мкг/кг",IF(AND(D30="молоко сгущенное",R30&gt;32,R30&lt;&gt;""),"более 32,00 мкг/кг",IF(AND(D30="молоко, сухое молоко, детское питание",OR(R30&lt;0.16,I30&gt;=$I$22,I31&gt;=$I$22)),"менее 0,16 мкг/кг",IF(AND(D30="молоко, сухое молоко, детское питание",R30&gt;8,R30&lt;&gt;""),"более 8,00 мкг/кг",IF(AND(D30="молочная сыворотка, творог, сыр, масло, сливки, кисломолочные продукты, мороженное",OR(R30&lt;2.5,I30&gt;=$I$22,I31&gt;=$I$22)),"менее 2,5 мкг/кг",IF(AND(D30="молочная сыворотка, творог, сыр, масло, сливки, кисломолочные продукты, мороженное",R30&gt;160,R30&lt;&gt;""),"более 160,0 мкг/кг","соответствует")))))))))</f>
        <v>соответствует</v>
      </c>
      <c r="X30" s="76"/>
    </row>
    <row r="31" spans="1:34" s="25" customFormat="1" ht="16.5" customHeight="1" thickTop="1" thickBot="1">
      <c r="A31" s="157"/>
      <c r="B31" s="153"/>
      <c r="C31" s="153"/>
      <c r="D31" s="154"/>
      <c r="E31" s="154"/>
      <c r="F31" s="79"/>
      <c r="G31" s="111"/>
      <c r="H31" s="148"/>
      <c r="I31" s="86">
        <v>0.54</v>
      </c>
      <c r="J31" s="93">
        <f>IF(I31="","",IF(I31&gt;AVERAGE($D$10:$E$10),"B'&gt;B0",I31-$F$17))</f>
        <v>0.49450000000000005</v>
      </c>
      <c r="K31" s="94">
        <f t="shared" ref="K31:K94" si="16">IF(OR(I31="",I31&gt;=$I$22),"",J31/($I$22-$F$17))</f>
        <v>0.24492322932144633</v>
      </c>
      <c r="L31" s="96"/>
      <c r="M31" s="41">
        <f t="shared" ref="M31:M94" si="17">IF(I31="","",IF(OR(J31="B'&gt;B0",I31=$I$22),"",LOG((J31)/($F$10-I31))))</f>
        <v>-0.48896113276820119</v>
      </c>
      <c r="N31" s="150">
        <f>IF(I31=M31,"0,0%",STDEV(I31:M31)/AVERAGE(I31:M31))</f>
        <v>2.4074150837845618</v>
      </c>
      <c r="O31" s="41">
        <f>IF(M31="","",10^((M31-INTERCEPT($M$11:$M$16,$J$11:$J$16))/SLOPE($M$11:$M$16,$J$11:$J$16))*H30)</f>
        <v>9.7697718857872022</v>
      </c>
      <c r="P31" s="80">
        <f>VLOOKUP(D30,$Z$3:$AC$6,2,FALSE)</f>
        <v>12</v>
      </c>
      <c r="Q31" s="152"/>
      <c r="R31" s="105">
        <f t="shared" ref="R31" si="18">IF(O30="","",IF(OR(D30="мясо, рыба, субпродукты",D30="молочная сыворотка, творог, сыр, масло, сливки, кисломолочные продукты, мороженное"),ROUND(AVERAGE(O30:O31),1),ROUND(AVERAGE(O30:O31),1)))</f>
        <v>10.3</v>
      </c>
      <c r="S31" s="103">
        <f t="shared" ref="S31" si="19">IF(OR(I30="",I31=""),"",IF(OR(V30="менее 1,00 мкг/кг",V30="менее 2,5 мкг/кг",V30="менее 0,16 мкг/кг",V30="более 32,00 мкг/кг",V30="более 160,0 мкг/кг",V30="более 8,00 мкг/кг"),"",ROUND(0.01*T30*VLOOKUP(D30,$Z$3:$AC$6,3,FALSE),1)))</f>
        <v>1.7</v>
      </c>
      <c r="T31" s="159"/>
      <c r="U31" s="156"/>
      <c r="V31" s="146"/>
      <c r="X31" s="76"/>
    </row>
    <row r="32" spans="1:34" s="25" customFormat="1" ht="16.5" customHeight="1" thickTop="1" thickBot="1">
      <c r="A32" s="129">
        <v>2</v>
      </c>
      <c r="B32" s="153"/>
      <c r="C32" s="153"/>
      <c r="D32" s="154" t="s">
        <v>11</v>
      </c>
      <c r="E32" s="154"/>
      <c r="F32" s="77"/>
      <c r="G32" s="110"/>
      <c r="H32" s="147">
        <f t="shared" ref="H32" si="20">IF(D32="","",VLOOKUP(D32,$Z$3:$AC$6,4,FALSE))</f>
        <v>2</v>
      </c>
      <c r="I32" s="86">
        <v>0.9</v>
      </c>
      <c r="J32" s="93">
        <f t="shared" ref="J32:J95" si="21">IF(I32="","",IF(I32&gt;AVERAGE($D$10:$E$10),"B'&gt;B0",I32-$F$17))</f>
        <v>0.85450000000000004</v>
      </c>
      <c r="K32" s="94">
        <f t="shared" si="16"/>
        <v>0.42322932144626063</v>
      </c>
      <c r="L32" s="96"/>
      <c r="M32" s="41">
        <f t="shared" si="17"/>
        <v>-0.13442742581394382</v>
      </c>
      <c r="N32" s="149">
        <f t="shared" ref="N32" si="22">IF(OR(I33="",I32=""),"",IF(M32="","",STDEV(J32:J33)/AVERAGE(J32:J33)))</f>
        <v>4.0199362205033916E-2</v>
      </c>
      <c r="O32" s="41">
        <f t="shared" ref="O32" si="23">IF(M32="","",10^((M32-INTERCEPT($M$11:$M$16,$J$11:$J$16))/SLOPE($M$11:$M$16,$J$11:$J$16))*H32)</f>
        <v>1.1134036553389244</v>
      </c>
      <c r="P32" s="78">
        <f t="shared" ref="P32" si="24">ABS(O32-O33)</f>
        <v>0.10288153920976661</v>
      </c>
      <c r="Q32" s="151" t="str">
        <f t="shared" ref="Q32" si="25">IF(T32="","",IF(OR(V32="менее 1,00 мкг/кг",V32="менее 2,5 мкг/кг",V32="менее 0,16 мкг/кг",V32="более 32,00 мкг/кг",V32="более 160,0 мкг/кг",V32="более 8,00 мкг/кг"),"",IF(0.01*T32*P33&gt;P32,"приемлемы","неприемлемы")))</f>
        <v>приемлемы</v>
      </c>
      <c r="R32" s="102">
        <f t="shared" ref="R32" si="26">IF(O32="","",IF(OR(D32="мясо, рыба, субпродукты",D32="молочная сыворотка, творог, сыр, масло, сливки, кисломолочные продукты, мороженное"),ROUND(AVERAGE(O32:O33),1),ROUND(AVERAGE(O32:O33),2)))</f>
        <v>1.06</v>
      </c>
      <c r="S32" s="102">
        <f t="shared" ref="S32" si="27">IF(OR(I32="",I33=""),"",IF(OR(V32="менее 1,00 мкг/кг",V32="менее 2,5 мкг/кг",V32="менее 0,16 мкг/кг",V32="более 32,00 мкг/кг",V32="более 160,0 мкг/кг",V32="более 8,00 мкг/кг"),"",ROUND(0.01*T32*VLOOKUP(D32,$Z$3:$AC$6,3,FALSE),2)))</f>
        <v>0.17</v>
      </c>
      <c r="T32" s="158" t="str">
        <f t="shared" ref="T32" si="28">IF(OR(I32="",I33=""),"",IF(OR(V32="менее 1,00 мкг/кг",V32="менее 2,5 мкг/кг",V32="менее 0,16 мкг/кг",V32="более 32,00 мкг/кг",V32="более 160,0 мкг/кг",V32="более 8,00 мкг/кг"),"",IF(OR(D32="молоко, сухое молоко, детское питание",D32="молоко сгущенное"),TEXT(R32,"0,00"),TEXT(R33,"0,0"))))</f>
        <v>1,06</v>
      </c>
      <c r="U32" s="155" t="str">
        <f t="shared" si="15"/>
        <v>±0,17</v>
      </c>
      <c r="V32" s="145" t="str">
        <f t="shared" ref="V32" si="29">IF(I32="","",IF(AND(D32="мясо, рыба, субпродукты",OR(R32&lt;2.5,I32&gt;=$I$22,I33&gt;=$I$22)),"менее 2,5 мкг/кг",IF(AND(D32="мясо, рыба, субпродукты",R32&gt;160,R32&lt;&gt;""),"более 160,0 мкг/кг",IF(AND(D32="молоко сгущенное",OR(R32&lt;1,I32&gt;=$I$22,I33&gt;=$I$22)),"менее 1,00 мкг/кг",IF(AND(D32="молоко сгущенное",R32&gt;32,R32&lt;&gt;""),"более 32,00 мкг/кг",IF(AND(D32="молоко, сухое молоко, детское питание",OR(R32&lt;0.16,I32&gt;=$I$22,I33&gt;=$I$22)),"менее 0,16 мкг/кг",IF(AND(D32="молоко, сухое молоко, детское питание",R32&gt;8,R32&lt;&gt;""),"более 8,00 мкг/кг",IF(AND(D32="молочная сыворотка, творог, сыр, масло, сливки, кисломолочные продукты, мороженное",OR(R32&lt;2.5,I32&gt;=$I$22,I33&gt;=$I$22)),"менее 2,5 мкг/кг",IF(AND(D32="молочная сыворотка, творог, сыр, масло, сливки, кисломолочные продукты, мороженное",R32&gt;160,R32&lt;&gt;""),"более 160,0 мкг/кг","соответствует")))))))))</f>
        <v>соответствует</v>
      </c>
      <c r="W32" s="81"/>
      <c r="X32" s="76"/>
    </row>
    <row r="33" spans="1:24" s="25" customFormat="1" ht="16.5" customHeight="1" thickTop="1" thickBot="1">
      <c r="A33" s="157"/>
      <c r="B33" s="153"/>
      <c r="C33" s="153"/>
      <c r="D33" s="154"/>
      <c r="E33" s="154"/>
      <c r="F33" s="79"/>
      <c r="G33" s="111"/>
      <c r="H33" s="148"/>
      <c r="I33" s="86">
        <v>0.95</v>
      </c>
      <c r="J33" s="93">
        <f t="shared" si="21"/>
        <v>0.90449999999999997</v>
      </c>
      <c r="K33" s="94">
        <f t="shared" si="16"/>
        <v>0.44799405646359591</v>
      </c>
      <c r="L33" s="96"/>
      <c r="M33" s="41">
        <f t="shared" si="17"/>
        <v>-9.067150162042395E-2</v>
      </c>
      <c r="N33" s="150">
        <f t="shared" ref="N33" si="30">IF(I33=M33,"0,0%",STDEV(I33:M33)/AVERAGE(I33:M33))</f>
        <v>0.87761758348546759</v>
      </c>
      <c r="O33" s="41">
        <f t="shared" ref="O33" si="31">IF(M33="","",10^((M33-INTERCEPT($M$11:$M$16,$J$11:$J$16))/SLOPE($M$11:$M$16,$J$11:$J$16))*H32)</f>
        <v>1.0105221161291578</v>
      </c>
      <c r="P33" s="80">
        <f>VLOOKUP(D32,$Z$3:$AC$6,2,FALSE)</f>
        <v>12</v>
      </c>
      <c r="Q33" s="152"/>
      <c r="R33" s="105">
        <f t="shared" ref="R33" si="32">IF(O32="","",IF(OR(D32="мясо, рыба, субпродукты",D32="молочная сыворотка, творог, сыр, масло, сливки, кисломолочные продукты, мороженное"),ROUND(AVERAGE(O32:O33),1),ROUND(AVERAGE(O32:O33),1)))</f>
        <v>1.1000000000000001</v>
      </c>
      <c r="S33" s="103">
        <f t="shared" ref="S33" si="33">IF(OR(I32="",I33=""),"",IF(OR(V32="менее 1,00 мкг/кг",V32="менее 2,5 мкг/кг",V32="менее 0,16 мкг/кг",V32="более 32,00 мкг/кг",V32="более 160,0 мкг/кг",V32="более 8,00 мкг/кг"),"",ROUND(0.01*T32*VLOOKUP(D32,$Z$3:$AC$6,3,FALSE),1)))</f>
        <v>0.2</v>
      </c>
      <c r="T33" s="159"/>
      <c r="U33" s="156"/>
      <c r="V33" s="146"/>
      <c r="W33" s="81"/>
      <c r="X33" s="76"/>
    </row>
    <row r="34" spans="1:24" s="25" customFormat="1" ht="16.5" customHeight="1" thickTop="1" thickBot="1">
      <c r="A34" s="129">
        <v>3</v>
      </c>
      <c r="B34" s="153"/>
      <c r="C34" s="153"/>
      <c r="D34" s="154" t="s">
        <v>11</v>
      </c>
      <c r="E34" s="154"/>
      <c r="F34" s="77"/>
      <c r="G34" s="110"/>
      <c r="H34" s="147">
        <f t="shared" ref="H34" si="34">IF(D34="","",VLOOKUP(D34,$Z$3:$AC$6,4,FALSE))</f>
        <v>2</v>
      </c>
      <c r="I34" s="86">
        <v>1.1499999999999999</v>
      </c>
      <c r="J34" s="93">
        <f t="shared" si="21"/>
        <v>1.1044999999999998</v>
      </c>
      <c r="K34" s="94">
        <f t="shared" si="16"/>
        <v>0.54705299653293704</v>
      </c>
      <c r="L34" s="96"/>
      <c r="M34" s="41">
        <f t="shared" si="17"/>
        <v>8.1982010395018068E-2</v>
      </c>
      <c r="N34" s="149">
        <f t="shared" ref="N34" si="35">IF(OR(I35="",I34=""),"",IF(M34="","",STDEV(J34:J35)/AVERAGE(J34:J35)))</f>
        <v>0.10160946183436946</v>
      </c>
      <c r="O34" s="41">
        <f t="shared" ref="O34" si="36">IF(M34="","",10^((M34-INTERCEPT($M$11:$M$16,$J$11:$J$16))/SLOPE($M$11:$M$16,$J$11:$J$16))*H34)</f>
        <v>0.68928590644180476</v>
      </c>
      <c r="P34" s="78">
        <f t="shared" ref="P34" si="37">ABS(O34-O35)</f>
        <v>0.19755632310467219</v>
      </c>
      <c r="Q34" s="151" t="str">
        <f t="shared" ref="Q34" si="38">IF(T34="","",IF(OR(V34="менее 1,00 мкг/кг",V34="менее 2,5 мкг/кг",V34="менее 0,16 мкг/кг",V34="более 32,00 мкг/кг",V34="более 160,0 мкг/кг",V34="более 8,00 мкг/кг"),"",IF(0.01*T34*P35&gt;P34,"приемлемы","неприемлемы")))</f>
        <v>неприемлемы</v>
      </c>
      <c r="R34" s="102">
        <f t="shared" ref="R34" si="39">IF(O34="","",IF(OR(D34="мясо, рыба, субпродукты",D34="молочная сыворотка, творог, сыр, масло, сливки, кисломолочные продукты, мороженное"),ROUND(AVERAGE(O34:O35),1),ROUND(AVERAGE(O34:O35),2)))</f>
        <v>0.59</v>
      </c>
      <c r="S34" s="102">
        <f t="shared" ref="S34" si="40">IF(OR(I34="",I35=""),"",IF(OR(V34="менее 1,00 мкг/кг",V34="менее 2,5 мкг/кг",V34="менее 0,16 мкг/кг",V34="более 32,00 мкг/кг",V34="более 160,0 мкг/кг",V34="более 8,00 мкг/кг"),"",ROUND(0.01*T34*VLOOKUP(D34,$Z$3:$AC$6,3,FALSE),2)))</f>
        <v>0.09</v>
      </c>
      <c r="T34" s="158" t="str">
        <f t="shared" ref="T34" si="41">IF(OR(I34="",I35=""),"",IF(OR(V34="менее 1,00 мкг/кг",V34="менее 2,5 мкг/кг",V34="менее 0,16 мкг/кг",V34="более 32,00 мкг/кг",V34="более 160,0 мкг/кг",V34="более 8,00 мкг/кг"),"",IF(OR(D34="молоко, сухое молоко, детское питание",D34="молоко сгущенное"),TEXT(R34,"0,00"),TEXT(R35,"0,0"))))</f>
        <v>0,59</v>
      </c>
      <c r="U34" s="155" t="str">
        <f t="shared" si="15"/>
        <v>±0,09</v>
      </c>
      <c r="V34" s="145" t="str">
        <f t="shared" ref="V34" si="42">IF(I34="","",IF(AND(D34="мясо, рыба, субпродукты",OR(R34&lt;2.5,I34&gt;=$I$22,I35&gt;=$I$22)),"менее 2,5 мкг/кг",IF(AND(D34="мясо, рыба, субпродукты",R34&gt;160,R34&lt;&gt;""),"более 160,0 мкг/кг",IF(AND(D34="молоко сгущенное",OR(R34&lt;1,I34&gt;=$I$22,I35&gt;=$I$22)),"менее 1,00 мкг/кг",IF(AND(D34="молоко сгущенное",R34&gt;32,R34&lt;&gt;""),"более 32,00 мкг/кг",IF(AND(D34="молоко, сухое молоко, детское питание",OR(R34&lt;0.16,I34&gt;=$I$22,I35&gt;=$I$22)),"менее 0,16 мкг/кг",IF(AND(D34="молоко, сухое молоко, детское питание",R34&gt;8,R34&lt;&gt;""),"более 8,00 мкг/кг",IF(AND(D34="молочная сыворотка, творог, сыр, масло, сливки, кисломолочные продукты, мороженное",OR(R34&lt;2.5,I34&gt;=$I$22,I35&gt;=$I$22)),"менее 2,5 мкг/кг",IF(AND(D34="молочная сыворотка, творог, сыр, масло, сливки, кисломолочные продукты, мороженное",R34&gt;160,R34&lt;&gt;""),"более 160,0 мкг/кг","соответствует")))))))))</f>
        <v>соответствует</v>
      </c>
      <c r="W34" s="81"/>
      <c r="X34" s="76"/>
    </row>
    <row r="35" spans="1:24" s="25" customFormat="1" ht="16.5" customHeight="1" thickTop="1" thickBot="1">
      <c r="A35" s="157"/>
      <c r="B35" s="153"/>
      <c r="C35" s="153"/>
      <c r="D35" s="154"/>
      <c r="E35" s="154"/>
      <c r="F35" s="79"/>
      <c r="G35" s="111"/>
      <c r="H35" s="148"/>
      <c r="I35" s="86">
        <v>1.321</v>
      </c>
      <c r="J35" s="93">
        <f t="shared" si="21"/>
        <v>1.2754999999999999</v>
      </c>
      <c r="K35" s="94">
        <f t="shared" si="16"/>
        <v>0.63174839029222385</v>
      </c>
      <c r="L35" s="96"/>
      <c r="M35" s="41">
        <f t="shared" si="17"/>
        <v>0.23439949008783587</v>
      </c>
      <c r="N35" s="150">
        <f t="shared" ref="N35" si="43">IF(I35=M35,"0,0%",STDEV(I35:M35)/AVERAGE(I35:M35))</f>
        <v>0.60707079214694903</v>
      </c>
      <c r="O35" s="41">
        <f t="shared" ref="O35" si="44">IF(M35="","",10^((M35-INTERCEPT($M$11:$M$16,$J$11:$J$16))/SLOPE($M$11:$M$16,$J$11:$J$16))*H34)</f>
        <v>0.49172958333713257</v>
      </c>
      <c r="P35" s="80">
        <f>VLOOKUP(D34,$Z$3:$AC$6,2,FALSE)</f>
        <v>12</v>
      </c>
      <c r="Q35" s="152"/>
      <c r="R35" s="105">
        <f t="shared" ref="R35" si="45">IF(O34="","",IF(OR(D34="мясо, рыба, субпродукты",D34="молочная сыворотка, творог, сыр, масло, сливки, кисломолочные продукты, мороженное"),ROUND(AVERAGE(O34:O35),1),ROUND(AVERAGE(O34:O35),1)))</f>
        <v>0.6</v>
      </c>
      <c r="S35" s="103">
        <f>IF(OR(I34="",I35=""),"",IF(OR(V34="менее 1,00 мкг/кг",V34="менее 2,5 мкг/кг",V34="менее 0,16 мкг/кг",V34="более 32,00 мкг/кг",V34="более 160,0 мкг/кг",V34="более 8,00 мкг/кг"),"",ROUND(0.01*T34*VLOOKUP(D34,$Z$3:$AC$6,3,FALSE),1)))</f>
        <v>0.1</v>
      </c>
      <c r="T35" s="159"/>
      <c r="U35" s="156"/>
      <c r="V35" s="146"/>
      <c r="W35" s="81"/>
      <c r="X35" s="76"/>
    </row>
    <row r="36" spans="1:24" s="25" customFormat="1" ht="16.5" customHeight="1" thickTop="1" thickBot="1">
      <c r="A36" s="129">
        <v>4</v>
      </c>
      <c r="B36" s="153"/>
      <c r="C36" s="153"/>
      <c r="D36" s="154" t="s">
        <v>19</v>
      </c>
      <c r="E36" s="154"/>
      <c r="F36" s="77"/>
      <c r="G36" s="110"/>
      <c r="H36" s="147">
        <f t="shared" ref="H36" si="46">IF(D36="","",VLOOKUP(D36,$Z$3:$AC$6,4,FALSE))</f>
        <v>40</v>
      </c>
      <c r="I36" s="86">
        <v>0.23</v>
      </c>
      <c r="J36" s="93">
        <f t="shared" si="21"/>
        <v>0.1845</v>
      </c>
      <c r="K36" s="94">
        <f t="shared" si="16"/>
        <v>9.1381872213967319E-2</v>
      </c>
      <c r="L36" s="94"/>
      <c r="M36" s="41">
        <f t="shared" si="17"/>
        <v>-0.99752134559688743</v>
      </c>
      <c r="N36" s="149">
        <f t="shared" ref="N36" si="47">IF(OR(I37="",I36=""),"",IF(M36="","",STDEV(J36:J37)/AVERAGE(J36:J37)))</f>
        <v>0.22550102361302168</v>
      </c>
      <c r="O36" s="41">
        <f t="shared" ref="O36" si="48">IF(M36="","",10^((M36-INTERCEPT($M$11:$M$16,$J$11:$J$16))/SLOPE($M$11:$M$16,$J$11:$J$16))*H36)</f>
        <v>150.74664767732799</v>
      </c>
      <c r="P36" s="78">
        <f t="shared" ref="P36" si="49">ABS(O36-O37)</f>
        <v>44.194606693941907</v>
      </c>
      <c r="Q36" s="151" t="str">
        <f t="shared" ref="Q36" si="50">IF(T36="","",IF(OR(V36="менее 1,00 мкг/кг",V36="менее 2,5 мкг/кг",V36="менее 0,16 мкг/кг",V36="более 32,00 мкг/кг",V36="более 160,0 мкг/кг",V36="более 8,00 мкг/кг"),"",IF(0.01*T36*P37&gt;P36,"приемлемы","неприемлемы")))</f>
        <v>неприемлемы</v>
      </c>
      <c r="R36" s="102">
        <f t="shared" ref="R36" si="51">IF(O36="","",IF(OR(D36="мясо, рыба, субпродукты",D36="молочная сыворотка, творог, сыр, масло, сливки, кисломолочные продукты, мороженное"),ROUND(AVERAGE(O36:O37),1),ROUND(AVERAGE(O36:O37),2)))</f>
        <v>128.6</v>
      </c>
      <c r="S36" s="102">
        <f>IF(OR(I36="",I37=""),"",IF(OR(V36="менее 1,00 мкг/кг",V36="менее 2,5 мкг/кг",V36="менее 0,16 мкг/кг",V36="более 32,00 мкг/кг",V36="более 160,0 мкг/кг",V36="более 8,00 мкг/кг"),"",ROUND(0.01*T36*VLOOKUP(D36,$Z$3:$AC$6,3,FALSE),2)))</f>
        <v>23.15</v>
      </c>
      <c r="T36" s="158" t="str">
        <f t="shared" ref="T36" si="52">IF(OR(I36="",I37=""),"",IF(OR(V36="менее 1,00 мкг/кг",V36="менее 2,5 мкг/кг",V36="менее 0,16 мкг/кг",V36="более 32,00 мкг/кг",V36="более 160,0 мкг/кг",V36="более 8,00 мкг/кг"),"",IF(OR(D36="молоко, сухое молоко, детское питание",D36="молоко сгущенное"),TEXT(R36,"0,00"),TEXT(R37,"0,0"))))</f>
        <v>128,6</v>
      </c>
      <c r="U36" s="155" t="str">
        <f t="shared" si="15"/>
        <v>±23,1</v>
      </c>
      <c r="V36" s="145" t="str">
        <f t="shared" ref="V36" si="53">IF(I36="","",IF(AND(D36="мясо, рыба, субпродукты",OR(R36&lt;2.5,I36&gt;=$I$22,I37&gt;=$I$22)),"менее 2,5 мкг/кг",IF(AND(D36="мясо, рыба, субпродукты",R36&gt;160,R36&lt;&gt;""),"более 160,0 мкг/кг",IF(AND(D36="молоко сгущенное",OR(R36&lt;1,I36&gt;=$I$22,I37&gt;=$I$22)),"менее 1,00 мкг/кг",IF(AND(D36="молоко сгущенное",R36&gt;32,R36&lt;&gt;""),"более 32,00 мкг/кг",IF(AND(D36="молоко, сухое молоко, детское питание",OR(R36&lt;0.16,I36&gt;=$I$22,I37&gt;=$I$22)),"менее 0,16 мкг/кг",IF(AND(D36="молоко, сухое молоко, детское питание",R36&gt;8,R36&lt;&gt;""),"более 8,00 мкг/кг",IF(AND(D36="молочная сыворотка, творог, сыр, масло, сливки, кисломолочные продукты, мороженное",OR(R36&lt;2.5,I36&gt;=$I$22,I37&gt;=$I$22)),"менее 2,5 мкг/кг",IF(AND(D36="молочная сыворотка, творог, сыр, масло, сливки, кисломолочные продукты, мороженное",R36&gt;160,R36&lt;&gt;""),"более 160,0 мкг/кг","соответствует")))))))))</f>
        <v>соответствует</v>
      </c>
      <c r="W36" s="81"/>
      <c r="X36" s="76"/>
    </row>
    <row r="37" spans="1:24" s="25" customFormat="1" ht="16.5" customHeight="1" thickTop="1" thickBot="1">
      <c r="A37" s="157"/>
      <c r="B37" s="153"/>
      <c r="C37" s="153"/>
      <c r="D37" s="154"/>
      <c r="E37" s="154"/>
      <c r="F37" s="79"/>
      <c r="G37" s="111"/>
      <c r="H37" s="148"/>
      <c r="I37" s="86">
        <v>0.3</v>
      </c>
      <c r="J37" s="93">
        <f t="shared" si="21"/>
        <v>0.2545</v>
      </c>
      <c r="K37" s="94">
        <f t="shared" si="16"/>
        <v>0.12605250123823677</v>
      </c>
      <c r="L37" s="94"/>
      <c r="M37" s="41">
        <f t="shared" si="17"/>
        <v>-0.84093387602321035</v>
      </c>
      <c r="N37" s="150">
        <f t="shared" ref="N37" si="54">IF(I37=M37,"0,0%",STDEV(I37:M37)/AVERAGE(I37:M37))</f>
        <v>-13.441690488822548</v>
      </c>
      <c r="O37" s="41">
        <f t="shared" ref="O37" si="55">IF(M37="","",10^((M37-INTERCEPT($M$11:$M$16,$J$11:$J$16))/SLOPE($M$11:$M$16,$J$11:$J$16))*H36)</f>
        <v>106.55204098338608</v>
      </c>
      <c r="P37" s="80">
        <f>VLOOKUP(D36,$Z$3:$AC$6,2,FALSE)</f>
        <v>16</v>
      </c>
      <c r="Q37" s="152"/>
      <c r="R37" s="105">
        <f t="shared" ref="R37" si="56">IF(O36="","",IF(OR(D36="мясо, рыба, субпродукты",D36="молочная сыворотка, творог, сыр, масло, сливки, кисломолочные продукты, мороженное"),ROUND(AVERAGE(O36:O37),1),ROUND(AVERAGE(O36:O37),1)))</f>
        <v>128.6</v>
      </c>
      <c r="S37" s="103">
        <f t="shared" ref="S37" si="57">IF(OR(I36="",I37=""),"",IF(OR(V36="менее 1,00 мкг/кг",V36="менее 2,5 мкг/кг",V36="менее 0,16 мкг/кг",V36="более 32,00 мкг/кг",V36="более 160,0 мкг/кг",V36="более 8,00 мкг/кг"),"",ROUND(0.01*T36*VLOOKUP(D36,$Z$3:$AC$6,3,FALSE),1)))</f>
        <v>23.1</v>
      </c>
      <c r="T37" s="159"/>
      <c r="U37" s="156"/>
      <c r="V37" s="146"/>
      <c r="W37" s="81"/>
    </row>
    <row r="38" spans="1:24" s="25" customFormat="1" ht="16.5" customHeight="1" thickTop="1" thickBot="1">
      <c r="A38" s="129">
        <v>5</v>
      </c>
      <c r="B38" s="153"/>
      <c r="C38" s="153"/>
      <c r="D38" s="160" t="s">
        <v>19</v>
      </c>
      <c r="E38" s="161"/>
      <c r="F38" s="77"/>
      <c r="G38" s="110"/>
      <c r="H38" s="147">
        <f t="shared" ref="H38" si="58">IF(D38="","",VLOOKUP(D38,$Z$3:$AC$6,4,FALSE))</f>
        <v>40</v>
      </c>
      <c r="I38" s="86">
        <v>1.8340000000000001</v>
      </c>
      <c r="J38" s="93">
        <f t="shared" si="21"/>
        <v>1.7885</v>
      </c>
      <c r="K38" s="94">
        <f t="shared" si="16"/>
        <v>0.88583457157008438</v>
      </c>
      <c r="L38" s="94"/>
      <c r="M38" s="41">
        <f t="shared" si="17"/>
        <v>0.88981801475932198</v>
      </c>
      <c r="N38" s="149">
        <f t="shared" ref="N38" si="59">IF(OR(I39="",I38=""),"",IF(M38="","",STDEV(J38:J39)/AVERAGE(J38:J39)))</f>
        <v>6.4522550471131007E-2</v>
      </c>
      <c r="O38" s="41">
        <f t="shared" ref="O38" si="60">IF(M38="","",10^((M38-INTERCEPT($M$11:$M$16,$J$11:$J$16))/SLOPE($M$11:$M$16,$J$11:$J$16))*H38)</f>
        <v>2.3016521324224084</v>
      </c>
      <c r="P38" s="78">
        <f t="shared" ref="P38" si="61">ABS(O38-O39)</f>
        <v>1.7290001646705557</v>
      </c>
      <c r="Q38" s="151" t="str">
        <f t="shared" ref="Q38" si="62">IF(T38="","",IF(OR(V38="менее 1,00 мкг/кг",V38="менее 2,5 мкг/кг",V38="менее 0,16 мкг/кг",V38="более 32,00 мкг/кг",V38="более 160,0 мкг/кг",V38="более 8,00 мкг/кг"),"",IF(0.01*T38*P39&gt;P38,"приемлемы","неприемлемы")))</f>
        <v/>
      </c>
      <c r="R38" s="102">
        <f t="shared" ref="R38" si="63">IF(O38="","",IF(OR(D38="мясо, рыба, субпродукты",D38="молочная сыворотка, творог, сыр, масло, сливки, кисломолочные продукты, мороженное"),ROUND(AVERAGE(O38:O39),1),ROUND(AVERAGE(O38:O39),2)))</f>
        <v>1.4</v>
      </c>
      <c r="S38" s="102" t="str">
        <f t="shared" ref="S38" si="64">IF(OR(I38="",I39=""),"",IF(OR(V38="менее 1,00 мкг/кг",V38="менее 2,5 мкг/кг",V38="менее 0,16 мкг/кг",V38="более 32,00 мкг/кг",V38="более 160,0 мкг/кг",V38="более 8,00 мкг/кг"),"",ROUND(0.01*T38*VLOOKUP(D38,$Z$3:$AC$6,3,FALSE),2)))</f>
        <v/>
      </c>
      <c r="T38" s="158" t="str">
        <f t="shared" ref="T38" si="65">IF(OR(I38="",I39=""),"",IF(OR(V38="менее 1,00 мкг/кг",V38="менее 2,5 мкг/кг",V38="менее 0,16 мкг/кг",V38="более 32,00 мкг/кг",V38="более 160,0 мкг/кг",V38="более 8,00 мкг/кг"),"",IF(OR(D38="молоко, сухое молоко, детское питание",D38="молоко сгущенное"),TEXT(R38,"0,00"),TEXT(R39,"0,0"))))</f>
        <v/>
      </c>
      <c r="U38" s="155" t="str">
        <f t="shared" si="15"/>
        <v/>
      </c>
      <c r="V38" s="145" t="str">
        <f t="shared" ref="V38" si="66">IF(I38="","",IF(AND(D38="мясо, рыба, субпродукты",OR(R38&lt;2.5,I38&gt;=$I$22,I39&gt;=$I$22)),"менее 2,5 мкг/кг",IF(AND(D38="мясо, рыба, субпродукты",R38&gt;160,R38&lt;&gt;""),"более 160,0 мкг/кг",IF(AND(D38="молоко сгущенное",OR(R38&lt;1,I38&gt;=$I$22,I39&gt;=$I$22)),"менее 1,00 мкг/кг",IF(AND(D38="молоко сгущенное",R38&gt;32,R38&lt;&gt;""),"более 32,00 мкг/кг",IF(AND(D38="молоко, сухое молоко, детское питание",OR(R38&lt;0.16,I38&gt;=$I$22,I39&gt;=$I$22)),"менее 0,16 мкг/кг",IF(AND(D38="молоко, сухое молоко, детское питание",R38&gt;8,R38&lt;&gt;""),"более 8,00 мкг/кг",IF(AND(D38="молочная сыворотка, творог, сыр, масло, сливки, кисломолочные продукты, мороженное",OR(R38&lt;2.5,I38&gt;=$I$22,I39&gt;=$I$22)),"менее 2,5 мкг/кг",IF(AND(D38="молочная сыворотка, творог, сыр, масло, сливки, кисломолочные продукты, мороженное",R38&gt;160,R38&lt;&gt;""),"более 160,0 мкг/кг","соответствует")))))))))</f>
        <v>менее 2,5 мкг/кг</v>
      </c>
      <c r="X38" s="104"/>
    </row>
    <row r="39" spans="1:24" s="25" customFormat="1" ht="16.5" customHeight="1" thickTop="1" thickBot="1">
      <c r="A39" s="157"/>
      <c r="B39" s="153"/>
      <c r="C39" s="153"/>
      <c r="D39" s="162"/>
      <c r="E39" s="163"/>
      <c r="F39" s="79"/>
      <c r="G39" s="111"/>
      <c r="H39" s="148"/>
      <c r="I39" s="86">
        <v>2.0049999999999999</v>
      </c>
      <c r="J39" s="93">
        <f t="shared" si="21"/>
        <v>1.9594999999999998</v>
      </c>
      <c r="K39" s="94">
        <f t="shared" si="16"/>
        <v>0.97052996532937108</v>
      </c>
      <c r="L39" s="94"/>
      <c r="M39" s="41">
        <f t="shared" si="17"/>
        <v>1.5176283020855725</v>
      </c>
      <c r="N39" s="150">
        <f t="shared" ref="N39" si="67">IF(I39=M39,"0,0%",STDEV(I39:M39)/AVERAGE(I39:M39))</f>
        <v>0.29849513243027082</v>
      </c>
      <c r="O39" s="41">
        <f t="shared" ref="O39" si="68">IF(M39="","",10^((M39-INTERCEPT($M$11:$M$16,$J$11:$J$16))/SLOPE($M$11:$M$16,$J$11:$J$16))*H38)</f>
        <v>0.57265196775185268</v>
      </c>
      <c r="P39" s="80">
        <f>VLOOKUP(D38,$Z$3:$AC$6,2,FALSE)</f>
        <v>16</v>
      </c>
      <c r="Q39" s="152"/>
      <c r="R39" s="105">
        <f t="shared" ref="R39" si="69">IF(O38="","",IF(OR(D38="мясо, рыба, субпродукты",D38="молочная сыворотка, творог, сыр, масло, сливки, кисломолочные продукты, мороженное"),ROUND(AVERAGE(O38:O39),1),ROUND(AVERAGE(O38:O39),1)))</f>
        <v>1.4</v>
      </c>
      <c r="S39" s="103" t="str">
        <f t="shared" ref="S39" si="70">IF(OR(I38="",I39=""),"",IF(OR(V38="менее 1,00 мкг/кг",V38="менее 2,5 мкг/кг",V38="менее 0,16 мкг/кг",V38="более 32,00 мкг/кг",V38="более 160,0 мкг/кг",V38="более 8,00 мкг/кг"),"",ROUND(0.01*T38*VLOOKUP(D38,$Z$3:$AC$6,3,FALSE),1)))</f>
        <v/>
      </c>
      <c r="T39" s="159"/>
      <c r="U39" s="156"/>
      <c r="V39" s="146"/>
    </row>
    <row r="40" spans="1:24" s="25" customFormat="1" ht="16.5" customHeight="1" thickTop="1" thickBot="1">
      <c r="A40" s="129">
        <v>6</v>
      </c>
      <c r="B40" s="153"/>
      <c r="C40" s="153"/>
      <c r="D40" s="154"/>
      <c r="E40" s="154"/>
      <c r="F40" s="77"/>
      <c r="G40" s="110"/>
      <c r="H40" s="147" t="str">
        <f t="shared" ref="H40" si="71">IF(D40="","",VLOOKUP(D40,$Z$3:$AC$6,4,FALSE))</f>
        <v/>
      </c>
      <c r="I40" s="86"/>
      <c r="J40" s="93" t="str">
        <f t="shared" si="21"/>
        <v/>
      </c>
      <c r="K40" s="94" t="str">
        <f t="shared" si="16"/>
        <v/>
      </c>
      <c r="L40" s="94"/>
      <c r="M40" s="41" t="str">
        <f t="shared" si="17"/>
        <v/>
      </c>
      <c r="N40" s="149" t="str">
        <f t="shared" ref="N40" si="72">IF(OR(I41="",I40=""),"",IF(M40="","",STDEV(J40:J41)/AVERAGE(J40:J41)))</f>
        <v/>
      </c>
      <c r="O40" s="41" t="str">
        <f t="shared" ref="O40" si="73">IF(M40="","",10^((M40-INTERCEPT($M$11:$M$16,$J$11:$J$16))/SLOPE($M$11:$M$16,$J$11:$J$16))*H40)</f>
        <v/>
      </c>
      <c r="P40" s="78" t="e">
        <f t="shared" ref="P40" si="74">ABS(O40-O41)</f>
        <v>#VALUE!</v>
      </c>
      <c r="Q40" s="151" t="str">
        <f t="shared" ref="Q40" si="75">IF(T40="","",IF(OR(V40="менее 1,00 мкг/кг",V40="менее 2,5 мкг/кг",V40="менее 0,16 мкг/кг",V40="более 32,00 мкг/кг",V40="более 160,0 мкг/кг",V40="более 8,00 мкг/кг"),"",IF(0.01*T40*P41&gt;P40,"приемлемы","неприемлемы")))</f>
        <v/>
      </c>
      <c r="R40" s="102" t="str">
        <f>IF(O40="","",IF(OR(D40="мясо, рыба, субпродукты",D40="молочная сыворотка, творог, сыр, масло, сливки, кисломолочные продукты, мороженное"),ROUND(AVERAGE(O40:O41),1),ROUND(AVERAGE(O40:O41),2)))</f>
        <v/>
      </c>
      <c r="S40" s="102" t="str">
        <f>IF(OR(I40="",I41=""),"",IF(OR(V40="менее 1,00 мкг/кг",V40="менее 2,5 мкг/кг",V40="менее 0,16 мкг/кг",V40="более 32,00 мкг/кг",V40="более 160,0 мкг/кг",V40="более 8,00 мкг/кг"),"",ROUND(0.01*T40*VLOOKUP(D40,$Z$3:$AC$6,3,FALSE),2)))</f>
        <v/>
      </c>
      <c r="T40" s="158" t="str">
        <f t="shared" ref="T40" si="76">IF(OR(I40="",I41=""),"",IF(OR(V40="менее 1,00 мкг/кг",V40="менее 2,5 мкг/кг",V40="менее 0,16 мкг/кг",V40="более 32,00 мкг/кг",V40="более 160,0 мкг/кг",V40="более 8,00 мкг/кг"),"",IF(OR(D40="молоко, сухое молоко, детское питание",D40="молоко сгущенное"),TEXT(R40,"0,00"),TEXT(R41,"0,0"))))</f>
        <v/>
      </c>
      <c r="U40" s="155" t="str">
        <f t="shared" si="15"/>
        <v/>
      </c>
      <c r="V40" s="145" t="str">
        <f t="shared" ref="V40" si="77">IF(I40="","",IF(AND(D40="мясо, рыба, субпродукты",OR(R40&lt;2.5,I40&gt;=$I$22,I41&gt;=$I$22)),"менее 2,5 мкг/кг",IF(AND(D40="мясо, рыба, субпродукты",R40&gt;160,R40&lt;&gt;""),"более 160,0 мкг/кг",IF(AND(D40="молоко сгущенное",OR(R40&lt;1,I40&gt;=$I$22,I41&gt;=$I$22)),"менее 1,00 мкг/кг",IF(AND(D40="молоко сгущенное",R40&gt;32,R40&lt;&gt;""),"более 32,00 мкг/кг",IF(AND(D40="молоко, сухое молоко, детское питание",OR(R40&lt;0.16,I40&gt;=$I$22,I41&gt;=$I$22)),"менее 0,16 мкг/кг",IF(AND(D40="молоко, сухое молоко, детское питание",R40&gt;8,R40&lt;&gt;""),"более 8,00 мкг/кг",IF(AND(D40="молочная сыворотка, творог, сыр, масло, сливки, кисломолочные продукты, мороженное",OR(R40&lt;2.5,I40&gt;=$I$22,I41&gt;=$I$22)),"менее 2,5 мкг/кг",IF(AND(D40="молочная сыворотка, творог, сыр, масло, сливки, кисломолочные продукты, мороженное",R40&gt;160,R40&lt;&gt;""),"более 160,0 мкг/кг","соответствует")))))))))</f>
        <v/>
      </c>
    </row>
    <row r="41" spans="1:24" s="25" customFormat="1" ht="16.5" customHeight="1" thickTop="1" thickBot="1">
      <c r="A41" s="157"/>
      <c r="B41" s="153"/>
      <c r="C41" s="153"/>
      <c r="D41" s="154"/>
      <c r="E41" s="154"/>
      <c r="F41" s="79"/>
      <c r="G41" s="111"/>
      <c r="H41" s="148"/>
      <c r="I41" s="86"/>
      <c r="J41" s="93" t="str">
        <f t="shared" si="21"/>
        <v/>
      </c>
      <c r="K41" s="94" t="str">
        <f t="shared" si="16"/>
        <v/>
      </c>
      <c r="L41" s="94"/>
      <c r="M41" s="41" t="str">
        <f t="shared" si="17"/>
        <v/>
      </c>
      <c r="N41" s="150" t="str">
        <f t="shared" ref="N41" si="78">IF(I41=M41,"0,0%",STDEV(I41:M41)/AVERAGE(I41:M41))</f>
        <v>0,0%</v>
      </c>
      <c r="O41" s="41" t="str">
        <f t="shared" ref="O41" si="79">IF(M41="","",10^((M41-INTERCEPT($M$11:$M$16,$J$11:$J$16))/SLOPE($M$11:$M$16,$J$11:$J$16))*H40)</f>
        <v/>
      </c>
      <c r="P41" s="80" t="e">
        <f>VLOOKUP(D40,$Z$3:$AC$6,2,FALSE)</f>
        <v>#N/A</v>
      </c>
      <c r="Q41" s="152"/>
      <c r="R41" s="105" t="str">
        <f>IF(O40="","",IF(OR(D40="мясо, рыба, субпродукты",D40="молочная сыворотка, творог, сыр, масло, сливки, кисломолочные продукты, мороженное"),ROUND(AVERAGE(O40:O41),1),ROUND(AVERAGE(O40:O41),1)))</f>
        <v/>
      </c>
      <c r="S41" s="103" t="str">
        <f>IF(OR(I40="",I41=""),"",IF(OR(V40="менее 1,00 мкг/кг",V40="менее 2,5 мкг/кг",V40="менее 0,16 мкг/кг",V40="более 32,00 мкг/кг",V40="более 160,0 мкг/кг",V40="более 8,00 мкг/кг"),"",ROUND(0.01*T40*VLOOKUP(D40,$Z$3:$AC$6,3,FALSE),1)))</f>
        <v/>
      </c>
      <c r="T41" s="159"/>
      <c r="U41" s="156"/>
      <c r="V41" s="146"/>
    </row>
    <row r="42" spans="1:24" s="25" customFormat="1" ht="16.5" customHeight="1" thickTop="1" thickBot="1">
      <c r="A42" s="129">
        <v>7</v>
      </c>
      <c r="B42" s="153"/>
      <c r="C42" s="153"/>
      <c r="D42" s="154"/>
      <c r="E42" s="154"/>
      <c r="F42" s="77"/>
      <c r="G42" s="110"/>
      <c r="H42" s="147" t="str">
        <f t="shared" ref="H42" si="80">IF(D42="","",VLOOKUP(D42,$Z$3:$AC$6,4,FALSE))</f>
        <v/>
      </c>
      <c r="I42" s="86"/>
      <c r="J42" s="93" t="str">
        <f t="shared" si="21"/>
        <v/>
      </c>
      <c r="K42" s="94" t="str">
        <f t="shared" si="16"/>
        <v/>
      </c>
      <c r="L42" s="94"/>
      <c r="M42" s="41" t="str">
        <f t="shared" si="17"/>
        <v/>
      </c>
      <c r="N42" s="149" t="str">
        <f t="shared" ref="N42" si="81">IF(OR(I43="",I42=""),"",IF(M42="","",STDEV(J42:J43)/AVERAGE(J42:J43)))</f>
        <v/>
      </c>
      <c r="O42" s="41" t="str">
        <f t="shared" ref="O42" si="82">IF(M42="","",10^((M42-INTERCEPT($M$11:$M$16,$J$11:$J$16))/SLOPE($M$11:$M$16,$J$11:$J$16))*H42)</f>
        <v/>
      </c>
      <c r="P42" s="78" t="e">
        <f t="shared" ref="P42" si="83">ABS(O42-O43)</f>
        <v>#VALUE!</v>
      </c>
      <c r="Q42" s="151" t="str">
        <f t="shared" ref="Q42" si="84">IF(T42="","",IF(OR(V42="менее 1,00 мкг/кг",V42="менее 2,5 мкг/кг",V42="менее 0,16 мкг/кг",V42="более 32,00 мкг/кг",V42="более 160,0 мкг/кг",V42="более 8,00 мкг/кг"),"",IF(0.01*T42*P43&gt;P42,"приемлемы","неприемлемы")))</f>
        <v/>
      </c>
      <c r="R42" s="102" t="str">
        <f>IF(O42="","",IF(OR(D42="мясо, рыба, субпродукты",D42="молочная сыворотка, творог, сыр, масло, сливки, кисломолочные продукты, мороженное"),ROUND(AVERAGE(O42:O43),1),ROUND(AVERAGE(O42:O43),2)))</f>
        <v/>
      </c>
      <c r="S42" s="102" t="str">
        <f>IF(OR(I42="",I43=""),"",IF(OR(V42="менее 1,00 мкг/кг",V42="менее 2,5 мкг/кг",V42="менее 0,16 мкг/кг",V42="более 32,00 мкг/кг",V42="более 160,0 мкг/кг",V42="более 8,00 мкг/кг"),"",ROUND(0.01*T42*VLOOKUP(D42,$Z$3:$AC$6,3,FALSE),2)))</f>
        <v/>
      </c>
      <c r="T42" s="158" t="str">
        <f t="shared" ref="T42" si="85">IF(OR(I42="",I43=""),"",IF(OR(V42="менее 1,00 мкг/кг",V42="менее 2,5 мкг/кг",V42="менее 0,16 мкг/кг",V42="более 32,00 мкг/кг",V42="более 160,0 мкг/кг",V42="более 8,00 мкг/кг"),"",IF(OR(D42="молоко, сухое молоко, детское питание",D42="молоко сгущенное"),TEXT(R42,"0,00"),TEXT(R43,"0,0"))))</f>
        <v/>
      </c>
      <c r="U42" s="155" t="str">
        <f t="shared" si="15"/>
        <v/>
      </c>
      <c r="V42" s="145" t="str">
        <f t="shared" ref="V42" si="86">IF(I42="","",IF(AND(D42="мясо, рыба, субпродукты",OR(R42&lt;2.5,I42&gt;=$I$22,I43&gt;=$I$22)),"менее 2,5 мкг/кг",IF(AND(D42="мясо, рыба, субпродукты",R42&gt;160,R42&lt;&gt;""),"более 160,0 мкг/кг",IF(AND(D42="молоко сгущенное",OR(R42&lt;1,I42&gt;=$I$22,I43&gt;=$I$22)),"менее 1,00 мкг/кг",IF(AND(D42="молоко сгущенное",R42&gt;32,R42&lt;&gt;""),"более 32,00 мкг/кг",IF(AND(D42="молоко, сухое молоко, детское питание",OR(R42&lt;0.16,I42&gt;=$I$22,I43&gt;=$I$22)),"менее 0,16 мкг/кг",IF(AND(D42="молоко, сухое молоко, детское питание",R42&gt;8,R42&lt;&gt;""),"более 8,00 мкг/кг",IF(AND(D42="молочная сыворотка, творог, сыр, масло, сливки, кисломолочные продукты, мороженное",OR(R42&lt;2.5,I42&gt;=$I$22,I43&gt;=$I$22)),"менее 2,5 мкг/кг",IF(AND(D42="молочная сыворотка, творог, сыр, масло, сливки, кисломолочные продукты, мороженное",R42&gt;160,R42&lt;&gt;""),"более 160,0 мкг/кг","соответствует")))))))))</f>
        <v/>
      </c>
    </row>
    <row r="43" spans="1:24" s="25" customFormat="1" ht="16.5" customHeight="1" thickTop="1" thickBot="1">
      <c r="A43" s="157"/>
      <c r="B43" s="153"/>
      <c r="C43" s="153"/>
      <c r="D43" s="154"/>
      <c r="E43" s="154"/>
      <c r="F43" s="79"/>
      <c r="G43" s="111"/>
      <c r="H43" s="148"/>
      <c r="I43" s="86"/>
      <c r="J43" s="93" t="str">
        <f t="shared" si="21"/>
        <v/>
      </c>
      <c r="K43" s="94" t="str">
        <f t="shared" si="16"/>
        <v/>
      </c>
      <c r="L43" s="94"/>
      <c r="M43" s="41" t="str">
        <f t="shared" si="17"/>
        <v/>
      </c>
      <c r="N43" s="150" t="str">
        <f t="shared" ref="N43" si="87">IF(I43=M43,"0,0%",STDEV(I43:M43)/AVERAGE(I43:M43))</f>
        <v>0,0%</v>
      </c>
      <c r="O43" s="41" t="str">
        <f t="shared" ref="O43" si="88">IF(M43="","",10^((M43-INTERCEPT($M$11:$M$16,$J$11:$J$16))/SLOPE($M$11:$M$16,$J$11:$J$16))*H42)</f>
        <v/>
      </c>
      <c r="P43" s="80" t="e">
        <f>VLOOKUP(D42,$Z$3:$AC$6,2,FALSE)</f>
        <v>#N/A</v>
      </c>
      <c r="Q43" s="152"/>
      <c r="R43" s="105" t="str">
        <f>IF(O42="","",IF(OR(D42="мясо, рыба, субпродукты",D42="молочная сыворотка, творог, сыр, масло, сливки, кисломолочные продукты, мороженное"),ROUND(AVERAGE(O42:O43),1),ROUND(AVERAGE(O42:O43),1)))</f>
        <v/>
      </c>
      <c r="S43" s="103" t="str">
        <f>IF(OR(I42="",I43=""),"",IF(OR(V42="менее 1,00 мкг/кг",V42="менее 2,5 мкг/кг",V42="менее 0,16 мкг/кг",V42="более 32,00 мкг/кг",V42="более 160,0 мкг/кг",V42="более 8,00 мкг/кг"),"",ROUND(0.01*T42*VLOOKUP(D42,$Z$3:$AC$6,3,FALSE),1)))</f>
        <v/>
      </c>
      <c r="T43" s="159"/>
      <c r="U43" s="156"/>
      <c r="V43" s="146"/>
      <c r="X43" s="104"/>
    </row>
    <row r="44" spans="1:24" s="25" customFormat="1" ht="16.5" customHeight="1" thickTop="1" thickBot="1">
      <c r="A44" s="129">
        <v>8</v>
      </c>
      <c r="B44" s="153"/>
      <c r="C44" s="153"/>
      <c r="D44" s="154"/>
      <c r="E44" s="154"/>
      <c r="F44" s="77"/>
      <c r="G44" s="110"/>
      <c r="H44" s="147" t="str">
        <f t="shared" ref="H44" si="89">IF(D44="","",VLOOKUP(D44,$Z$3:$AC$6,4,FALSE))</f>
        <v/>
      </c>
      <c r="I44" s="86"/>
      <c r="J44" s="93" t="str">
        <f t="shared" si="21"/>
        <v/>
      </c>
      <c r="K44" s="94" t="str">
        <f t="shared" si="16"/>
        <v/>
      </c>
      <c r="L44" s="94"/>
      <c r="M44" s="41" t="str">
        <f t="shared" si="17"/>
        <v/>
      </c>
      <c r="N44" s="149" t="str">
        <f t="shared" ref="N44" si="90">IF(OR(I45="",I44=""),"",IF(M44="","",STDEV(J44:J45)/AVERAGE(J44:J45)))</f>
        <v/>
      </c>
      <c r="O44" s="41" t="str">
        <f t="shared" ref="O44" si="91">IF(M44="","",10^((M44-INTERCEPT($M$11:$M$16,$J$11:$J$16))/SLOPE($M$11:$M$16,$J$11:$J$16))*H44)</f>
        <v/>
      </c>
      <c r="P44" s="78" t="e">
        <f t="shared" ref="P44" si="92">ABS(O44-O45)</f>
        <v>#VALUE!</v>
      </c>
      <c r="Q44" s="151" t="str">
        <f t="shared" ref="Q44" si="93">IF(T44="","",IF(OR(V44="менее 1,00 мкг/кг",V44="менее 2,5 мкг/кг",V44="менее 0,16 мкг/кг",V44="более 32,00 мкг/кг",V44="более 160,0 мкг/кг",V44="более 8,00 мкг/кг"),"",IF(0.01*T44*P45&gt;P44,"приемлемы","неприемлемы")))</f>
        <v/>
      </c>
      <c r="R44" s="102" t="str">
        <f t="shared" ref="R44" si="94">IF(O44="","",IF(OR(D44="мясо, рыба, субпродукты",D44="молочная сыворотка, творог, сыр, масло, сливки, кисломолочные продукты, мороженное"),ROUND(AVERAGE(O44:O45),1),ROUND(AVERAGE(O44:O45),2)))</f>
        <v/>
      </c>
      <c r="S44" s="102" t="str">
        <f t="shared" ref="S44" si="95">IF(OR(I44="",I45=""),"",IF(OR(V44="менее 1,00 мкг/кг",V44="менее 2,5 мкг/кг",V44="менее 0,16 мкг/кг",V44="более 32,00 мкг/кг",V44="более 160,0 мкг/кг",V44="более 8,00 мкг/кг"),"",ROUND(0.01*T44*VLOOKUP(D44,$Z$3:$AC$6,3,FALSE),2)))</f>
        <v/>
      </c>
      <c r="T44" s="158" t="str">
        <f t="shared" ref="T44" si="96">IF(OR(I44="",I45=""),"",IF(OR(V44="менее 1,00 мкг/кг",V44="менее 2,5 мкг/кг",V44="менее 0,16 мкг/кг",V44="более 32,00 мкг/кг",V44="более 160,0 мкг/кг",V44="более 8,00 мкг/кг"),"",IF(OR(D44="молоко, сухое молоко, детское питание",D44="молоко сгущенное"),TEXT(R44,"0,00"),TEXT(R45,"0,0"))))</f>
        <v/>
      </c>
      <c r="U44" s="155" t="str">
        <f t="shared" si="15"/>
        <v/>
      </c>
      <c r="V44" s="145" t="str">
        <f t="shared" ref="V44" si="97">IF(I44="","",IF(AND(D44="мясо, рыба, субпродукты",OR(R44&lt;2.5,I44&gt;=$I$22,I45&gt;=$I$22)),"менее 2,5 мкг/кг",IF(AND(D44="мясо, рыба, субпродукты",R44&gt;160,R44&lt;&gt;""),"более 160,0 мкг/кг",IF(AND(D44="молоко сгущенное",OR(R44&lt;1,I44&gt;=$I$22,I45&gt;=$I$22)),"менее 1,00 мкг/кг",IF(AND(D44="молоко сгущенное",R44&gt;32,R44&lt;&gt;""),"более 32,00 мкг/кг",IF(AND(D44="молоко, сухое молоко, детское питание",OR(R44&lt;0.16,I44&gt;=$I$22,I45&gt;=$I$22)),"менее 0,16 мкг/кг",IF(AND(D44="молоко, сухое молоко, детское питание",R44&gt;8,R44&lt;&gt;""),"более 8,00 мкг/кг",IF(AND(D44="молочная сыворотка, творог, сыр, масло, сливки, кисломолочные продукты, мороженное",OR(R44&lt;2.5,I44&gt;=$I$22,I45&gt;=$I$22)),"менее 2,5 мкг/кг",IF(AND(D44="молочная сыворотка, творог, сыр, масло, сливки, кисломолочные продукты, мороженное",R44&gt;160,R44&lt;&gt;""),"более 160,0 мкг/кг","соответствует")))))))))</f>
        <v/>
      </c>
    </row>
    <row r="45" spans="1:24" s="25" customFormat="1" ht="16.5" customHeight="1" thickTop="1" thickBot="1">
      <c r="A45" s="157"/>
      <c r="B45" s="153"/>
      <c r="C45" s="153"/>
      <c r="D45" s="154"/>
      <c r="E45" s="154"/>
      <c r="F45" s="79"/>
      <c r="G45" s="111"/>
      <c r="H45" s="148"/>
      <c r="I45" s="86"/>
      <c r="J45" s="93" t="str">
        <f t="shared" si="21"/>
        <v/>
      </c>
      <c r="K45" s="94" t="str">
        <f t="shared" si="16"/>
        <v/>
      </c>
      <c r="L45" s="94"/>
      <c r="M45" s="41" t="str">
        <f t="shared" si="17"/>
        <v/>
      </c>
      <c r="N45" s="150" t="str">
        <f t="shared" ref="N45" si="98">IF(I45=M45,"0,0%",STDEV(I45:M45)/AVERAGE(I45:M45))</f>
        <v>0,0%</v>
      </c>
      <c r="O45" s="41" t="str">
        <f t="shared" ref="O45" si="99">IF(M45="","",10^((M45-INTERCEPT($M$11:$M$16,$J$11:$J$16))/SLOPE($M$11:$M$16,$J$11:$J$16))*H44)</f>
        <v/>
      </c>
      <c r="P45" s="80" t="e">
        <f>VLOOKUP(D44,$Z$3:$AC$6,2,FALSE)</f>
        <v>#N/A</v>
      </c>
      <c r="Q45" s="152"/>
      <c r="R45" s="105" t="str">
        <f t="shared" ref="R45" si="100">IF(O44="","",IF(OR(D44="мясо, рыба, субпродукты",D44="молочная сыворотка, творог, сыр, масло, сливки, кисломолочные продукты, мороженное"),ROUND(AVERAGE(O44:O45),1),ROUND(AVERAGE(O44:O45),1)))</f>
        <v/>
      </c>
      <c r="S45" s="103" t="str">
        <f t="shared" ref="S45" si="101">IF(OR(I44="",I45=""),"",IF(OR(V44="менее 1,00 мкг/кг",V44="менее 2,5 мкг/кг",V44="менее 0,16 мкг/кг",V44="более 32,00 мкг/кг",V44="более 160,0 мкг/кг",V44="более 8,00 мкг/кг"),"",ROUND(0.01*T44*VLOOKUP(D44,$Z$3:$AC$6,3,FALSE),1)))</f>
        <v/>
      </c>
      <c r="T45" s="159"/>
      <c r="U45" s="156"/>
      <c r="V45" s="146"/>
    </row>
    <row r="46" spans="1:24" s="25" customFormat="1" ht="16.5" customHeight="1" thickTop="1" thickBot="1">
      <c r="A46" s="129">
        <v>9</v>
      </c>
      <c r="B46" s="153"/>
      <c r="C46" s="153"/>
      <c r="D46" s="154"/>
      <c r="E46" s="154"/>
      <c r="F46" s="77"/>
      <c r="G46" s="110"/>
      <c r="H46" s="147" t="str">
        <f t="shared" ref="H46" si="102">IF(D46="","",VLOOKUP(D46,$Z$3:$AC$6,4,FALSE))</f>
        <v/>
      </c>
      <c r="I46" s="86"/>
      <c r="J46" s="93" t="str">
        <f t="shared" si="21"/>
        <v/>
      </c>
      <c r="K46" s="94" t="str">
        <f t="shared" si="16"/>
        <v/>
      </c>
      <c r="L46" s="94"/>
      <c r="M46" s="41" t="str">
        <f t="shared" si="17"/>
        <v/>
      </c>
      <c r="N46" s="149" t="str">
        <f t="shared" ref="N46" si="103">IF(OR(I47="",I46=""),"",IF(M46="","",STDEV(J46:J47)/AVERAGE(J46:J47)))</f>
        <v/>
      </c>
      <c r="O46" s="41" t="str">
        <f t="shared" ref="O46" si="104">IF(M46="","",10^((M46-INTERCEPT($M$11:$M$16,$J$11:$J$16))/SLOPE($M$11:$M$16,$J$11:$J$16))*H46)</f>
        <v/>
      </c>
      <c r="P46" s="78" t="e">
        <f t="shared" ref="P46" si="105">ABS(O46-O47)</f>
        <v>#VALUE!</v>
      </c>
      <c r="Q46" s="151" t="str">
        <f t="shared" ref="Q46" si="106">IF(T46="","",IF(OR(V46="менее 1,00 мкг/кг",V46="менее 2,5 мкг/кг",V46="менее 0,16 мкг/кг",V46="более 32,00 мкг/кг",V46="более 160,0 мкг/кг",V46="более 8,00 мкг/кг"),"",IF(0.01*T46*P47&gt;P46,"приемлемы","неприемлемы")))</f>
        <v/>
      </c>
      <c r="R46" s="102" t="str">
        <f t="shared" ref="R46" si="107">IF(O46="","",IF(OR(D46="мясо, рыба, субпродукты",D46="молочная сыворотка, творог, сыр, масло, сливки, кисломолочные продукты, мороженное"),ROUND(AVERAGE(O46:O47),1),ROUND(AVERAGE(O46:O47),2)))</f>
        <v/>
      </c>
      <c r="S46" s="102" t="str">
        <f t="shared" ref="S46" si="108">IF(OR(I46="",I47=""),"",IF(OR(V46="менее 1,00 мкг/кг",V46="менее 2,5 мкг/кг",V46="менее 0,16 мкг/кг",V46="более 32,00 мкг/кг",V46="более 160,0 мкг/кг",V46="более 8,00 мкг/кг"),"",ROUND(0.01*T46*VLOOKUP(D46,$Z$3:$AC$6,3,FALSE),2)))</f>
        <v/>
      </c>
      <c r="T46" s="158" t="str">
        <f t="shared" ref="T46" si="109">IF(OR(I46="",I47=""),"",IF(OR(V46="менее 1,00 мкг/кг",V46="менее 2,5 мкг/кг",V46="менее 0,16 мкг/кг",V46="более 32,00 мкг/кг",V46="более 160,0 мкг/кг",V46="более 8,00 мкг/кг"),"",IF(OR(D46="молоко, сухое молоко, детское питание",D46="молоко сгущенное"),TEXT(R46,"0,00"),TEXT(R47,"0,0"))))</f>
        <v/>
      </c>
      <c r="U46" s="155" t="str">
        <f t="shared" si="15"/>
        <v/>
      </c>
      <c r="V46" s="145" t="str">
        <f t="shared" ref="V46" si="110">IF(I46="","",IF(AND(D46="мясо, рыба, субпродукты",OR(R46&lt;2.5,I46&gt;=$I$22,I47&gt;=$I$22)),"менее 2,5 мкг/кг",IF(AND(D46="мясо, рыба, субпродукты",R46&gt;160,R46&lt;&gt;""),"более 160,0 мкг/кг",IF(AND(D46="молоко сгущенное",OR(R46&lt;1,I46&gt;=$I$22,I47&gt;=$I$22)),"менее 1,00 мкг/кг",IF(AND(D46="молоко сгущенное",R46&gt;32,R46&lt;&gt;""),"более 32,00 мкг/кг",IF(AND(D46="молоко, сухое молоко, детское питание",OR(R46&lt;0.16,I46&gt;=$I$22,I47&gt;=$I$22)),"менее 0,16 мкг/кг",IF(AND(D46="молоко, сухое молоко, детское питание",R46&gt;8,R46&lt;&gt;""),"более 8,00 мкг/кг",IF(AND(D46="молочная сыворотка, творог, сыр, масло, сливки, кисломолочные продукты, мороженное",OR(R46&lt;2.5,I46&gt;=$I$22,I47&gt;=$I$22)),"менее 2,5 мкг/кг",IF(AND(D46="молочная сыворотка, творог, сыр, масло, сливки, кисломолочные продукты, мороженное",R46&gt;160,R46&lt;&gt;""),"более 160,0 мкг/кг","соответствует")))))))))</f>
        <v/>
      </c>
    </row>
    <row r="47" spans="1:24" s="25" customFormat="1" ht="16.5" customHeight="1" thickTop="1" thickBot="1">
      <c r="A47" s="157"/>
      <c r="B47" s="153"/>
      <c r="C47" s="153"/>
      <c r="D47" s="154"/>
      <c r="E47" s="154"/>
      <c r="F47" s="79"/>
      <c r="G47" s="111"/>
      <c r="H47" s="148"/>
      <c r="I47" s="86"/>
      <c r="J47" s="93" t="str">
        <f t="shared" si="21"/>
        <v/>
      </c>
      <c r="K47" s="94" t="str">
        <f t="shared" si="16"/>
        <v/>
      </c>
      <c r="L47" s="94"/>
      <c r="M47" s="41" t="str">
        <f t="shared" si="17"/>
        <v/>
      </c>
      <c r="N47" s="150" t="str">
        <f t="shared" ref="N47" si="111">IF(I47=M47,"0,0%",STDEV(I47:M47)/AVERAGE(I47:M47))</f>
        <v>0,0%</v>
      </c>
      <c r="O47" s="41" t="str">
        <f t="shared" ref="O47" si="112">IF(M47="","",10^((M47-INTERCEPT($M$11:$M$16,$J$11:$J$16))/SLOPE($M$11:$M$16,$J$11:$J$16))*H46)</f>
        <v/>
      </c>
      <c r="P47" s="80" t="e">
        <f>VLOOKUP(D46,$Z$3:$AC$6,2,FALSE)</f>
        <v>#N/A</v>
      </c>
      <c r="Q47" s="152"/>
      <c r="R47" s="105" t="str">
        <f t="shared" ref="R47" si="113">IF(O46="","",IF(OR(D46="мясо, рыба, субпродукты",D46="молочная сыворотка, творог, сыр, масло, сливки, кисломолочные продукты, мороженное"),ROUND(AVERAGE(O46:O47),1),ROUND(AVERAGE(O46:O47),1)))</f>
        <v/>
      </c>
      <c r="S47" s="103" t="str">
        <f t="shared" ref="S47" si="114">IF(OR(I46="",I47=""),"",IF(OR(V46="менее 1,00 мкг/кг",V46="менее 2,5 мкг/кг",V46="менее 0,16 мкг/кг",V46="более 32,00 мкг/кг",V46="более 160,0 мкг/кг",V46="более 8,00 мкг/кг"),"",ROUND(0.01*T46*VLOOKUP(D46,$Z$3:$AC$6,3,FALSE),1)))</f>
        <v/>
      </c>
      <c r="T47" s="159"/>
      <c r="U47" s="156"/>
      <c r="V47" s="146"/>
      <c r="W47" s="76"/>
    </row>
    <row r="48" spans="1:24" s="25" customFormat="1" ht="16.5" customHeight="1" thickTop="1" thickBot="1">
      <c r="A48" s="129">
        <v>10</v>
      </c>
      <c r="B48" s="164"/>
      <c r="C48" s="164"/>
      <c r="D48" s="160"/>
      <c r="E48" s="161"/>
      <c r="F48" s="77"/>
      <c r="G48" s="110"/>
      <c r="H48" s="147" t="str">
        <f t="shared" ref="H48" si="115">IF(D48="","",VLOOKUP(D48,$Z$3:$AC$6,4,FALSE))</f>
        <v/>
      </c>
      <c r="I48" s="86"/>
      <c r="J48" s="93" t="str">
        <f t="shared" si="21"/>
        <v/>
      </c>
      <c r="K48" s="94" t="str">
        <f t="shared" si="16"/>
        <v/>
      </c>
      <c r="L48" s="94"/>
      <c r="M48" s="41" t="str">
        <f t="shared" si="17"/>
        <v/>
      </c>
      <c r="N48" s="149" t="str">
        <f t="shared" ref="N48" si="116">IF(OR(I49="",I48=""),"",IF(M48="","",STDEV(J48:J49)/AVERAGE(J48:J49)))</f>
        <v/>
      </c>
      <c r="O48" s="41" t="str">
        <f t="shared" ref="O48" si="117">IF(M48="","",10^((M48-INTERCEPT($M$11:$M$16,$J$11:$J$16))/SLOPE($M$11:$M$16,$J$11:$J$16))*H48)</f>
        <v/>
      </c>
      <c r="P48" s="78" t="e">
        <f t="shared" ref="P48" si="118">ABS(O48-O49)</f>
        <v>#VALUE!</v>
      </c>
      <c r="Q48" s="151" t="str">
        <f t="shared" ref="Q48" si="119">IF(T48="","",IF(OR(V48="менее 1,00 мкг/кг",V48="менее 2,5 мкг/кг",V48="менее 0,16 мкг/кг",V48="более 32,00 мкг/кг",V48="более 160,0 мкг/кг",V48="более 8,00 мкг/кг"),"",IF(0.01*T48*P49&gt;P48,"приемлемы","неприемлемы")))</f>
        <v/>
      </c>
      <c r="R48" s="102" t="str">
        <f t="shared" ref="R48" si="120">IF(O48="","",IF(OR(D48="мясо, рыба, субпродукты",D48="молочная сыворотка, творог, сыр, масло, сливки, кисломолочные продукты, мороженное"),ROUND(AVERAGE(O48:O49),1),ROUND(AVERAGE(O48:O49),2)))</f>
        <v/>
      </c>
      <c r="S48" s="102" t="str">
        <f t="shared" ref="S48" si="121">IF(OR(I48="",I49=""),"",IF(OR(V48="менее 1,00 мкг/кг",V48="менее 2,5 мкг/кг",V48="менее 0,16 мкг/кг",V48="более 32,00 мкг/кг",V48="более 160,0 мкг/кг",V48="более 8,00 мкг/кг"),"",ROUND(0.01*T48*VLOOKUP(D48,$Z$3:$AC$6,3,FALSE),2)))</f>
        <v/>
      </c>
      <c r="T48" s="158" t="str">
        <f t="shared" ref="T48" si="122">IF(OR(I48="",I49=""),"",IF(OR(V48="менее 1,00 мкг/кг",V48="менее 2,5 мкг/кг",V48="менее 0,16 мкг/кг",V48="более 32,00 мкг/кг",V48="более 160,0 мкг/кг",V48="более 8,00 мкг/кг"),"",IF(OR(D48="молоко, сухое молоко, детское питание",D48="молоко сгущенное"),TEXT(R48,"0,00"),TEXT(R49,"0,0"))))</f>
        <v/>
      </c>
      <c r="U48" s="155" t="str">
        <f t="shared" si="15"/>
        <v/>
      </c>
      <c r="V48" s="145" t="str">
        <f t="shared" ref="V48" si="123">IF(I48="","",IF(AND(D48="мясо, рыба, субпродукты",OR(R48&lt;2.5,I48&gt;=$I$22,I49&gt;=$I$22)),"менее 2,5 мкг/кг",IF(AND(D48="мясо, рыба, субпродукты",R48&gt;160,R48&lt;&gt;""),"более 160,0 мкг/кг",IF(AND(D48="молоко сгущенное",OR(R48&lt;1,I48&gt;=$I$22,I49&gt;=$I$22)),"менее 1,00 мкг/кг",IF(AND(D48="молоко сгущенное",R48&gt;32,R48&lt;&gt;""),"более 32,00 мкг/кг",IF(AND(D48="молоко, сухое молоко, детское питание",OR(R48&lt;0.16,I48&gt;=$I$22,I49&gt;=$I$22)),"менее 0,16 мкг/кг",IF(AND(D48="молоко, сухое молоко, детское питание",R48&gt;8,R48&lt;&gt;""),"более 8,00 мкг/кг",IF(AND(D48="молочная сыворотка, творог, сыр, масло, сливки, кисломолочные продукты, мороженное",OR(R48&lt;2.5,I48&gt;=$I$22,I49&gt;=$I$22)),"менее 2,5 мкг/кг",IF(AND(D48="молочная сыворотка, творог, сыр, масло, сливки, кисломолочные продукты, мороженное",R48&gt;160,R48&lt;&gt;""),"более 160,0 мкг/кг","соответствует")))))))))</f>
        <v/>
      </c>
      <c r="W48" s="76"/>
    </row>
    <row r="49" spans="1:22" s="25" customFormat="1" ht="16.5" customHeight="1" thickTop="1" thickBot="1">
      <c r="A49" s="157"/>
      <c r="B49" s="164"/>
      <c r="C49" s="164"/>
      <c r="D49" s="162"/>
      <c r="E49" s="163"/>
      <c r="F49" s="79"/>
      <c r="G49" s="111"/>
      <c r="H49" s="148"/>
      <c r="I49" s="86"/>
      <c r="J49" s="93" t="str">
        <f t="shared" si="21"/>
        <v/>
      </c>
      <c r="K49" s="94" t="str">
        <f t="shared" si="16"/>
        <v/>
      </c>
      <c r="L49" s="94"/>
      <c r="M49" s="41" t="str">
        <f t="shared" si="17"/>
        <v/>
      </c>
      <c r="N49" s="150" t="str">
        <f t="shared" ref="N49" si="124">IF(I49=M49,"0,0%",STDEV(I49:M49)/AVERAGE(I49:M49))</f>
        <v>0,0%</v>
      </c>
      <c r="O49" s="41" t="str">
        <f t="shared" ref="O49" si="125">IF(M49="","",10^((M49-INTERCEPT($M$11:$M$16,$J$11:$J$16))/SLOPE($M$11:$M$16,$J$11:$J$16))*H48)</f>
        <v/>
      </c>
      <c r="P49" s="80" t="e">
        <f>VLOOKUP(D48,$Z$3:$AC$6,2,FALSE)</f>
        <v>#N/A</v>
      </c>
      <c r="Q49" s="152"/>
      <c r="R49" s="105" t="str">
        <f t="shared" ref="R49" si="126">IF(O48="","",IF(OR(D48="мясо, рыба, субпродукты",D48="молочная сыворотка, творог, сыр, масло, сливки, кисломолочные продукты, мороженное"),ROUND(AVERAGE(O48:O49),1),ROUND(AVERAGE(O48:O49),1)))</f>
        <v/>
      </c>
      <c r="S49" s="103" t="str">
        <f t="shared" ref="S49" si="127">IF(OR(I48="",I49=""),"",IF(OR(V48="менее 1,00 мкг/кг",V48="менее 2,5 мкг/кг",V48="менее 0,16 мкг/кг",V48="более 32,00 мкг/кг",V48="более 160,0 мкг/кг",V48="более 8,00 мкг/кг"),"",ROUND(0.01*T48*VLOOKUP(D48,$Z$3:$AC$6,3,FALSE),1)))</f>
        <v/>
      </c>
      <c r="T49" s="159"/>
      <c r="U49" s="156"/>
      <c r="V49" s="146"/>
    </row>
    <row r="50" spans="1:22" s="25" customFormat="1" ht="16.5" customHeight="1" thickTop="1" thickBot="1">
      <c r="A50" s="129">
        <v>11</v>
      </c>
      <c r="B50" s="164"/>
      <c r="C50" s="164"/>
      <c r="D50" s="154"/>
      <c r="E50" s="154"/>
      <c r="F50" s="77"/>
      <c r="G50" s="110"/>
      <c r="H50" s="147" t="str">
        <f t="shared" ref="H50" si="128">IF(D50="","",VLOOKUP(D50,$Z$3:$AC$6,4,FALSE))</f>
        <v/>
      </c>
      <c r="I50" s="86"/>
      <c r="J50" s="93" t="str">
        <f t="shared" si="21"/>
        <v/>
      </c>
      <c r="K50" s="94" t="str">
        <f t="shared" si="16"/>
        <v/>
      </c>
      <c r="L50" s="94"/>
      <c r="M50" s="41" t="str">
        <f t="shared" si="17"/>
        <v/>
      </c>
      <c r="N50" s="149" t="str">
        <f t="shared" ref="N50" si="129">IF(OR(I51="",I50=""),"",IF(M50="","",STDEV(J50:J51)/AVERAGE(J50:J51)))</f>
        <v/>
      </c>
      <c r="O50" s="41" t="str">
        <f t="shared" ref="O50" si="130">IF(M50="","",10^((M50-INTERCEPT($M$11:$M$16,$J$11:$J$16))/SLOPE($M$11:$M$16,$J$11:$J$16))*H50)</f>
        <v/>
      </c>
      <c r="P50" s="78" t="e">
        <f t="shared" ref="P50" si="131">ABS(O50-O51)</f>
        <v>#VALUE!</v>
      </c>
      <c r="Q50" s="151" t="str">
        <f t="shared" ref="Q50" si="132">IF(T50="","",IF(OR(V50="менее 1,00 мкг/кг",V50="менее 2,5 мкг/кг",V50="менее 0,16 мкг/кг",V50="более 32,00 мкг/кг",V50="более 160,0 мкг/кг",V50="более 8,00 мкг/кг"),"",IF(0.01*T50*P51&gt;P50,"приемлемы","неприемлемы")))</f>
        <v/>
      </c>
      <c r="R50" s="102" t="str">
        <f t="shared" ref="R50" si="133">IF(O50="","",IF(OR(D50="мясо, рыба, субпродукты",D50="молочная сыворотка, творог, сыр, масло, сливки, кисломолочные продукты, мороженное"),ROUND(AVERAGE(O50:O51),1),ROUND(AVERAGE(O50:O51),2)))</f>
        <v/>
      </c>
      <c r="S50" s="102" t="str">
        <f t="shared" ref="S50" si="134">IF(OR(I50="",I51=""),"",IF(OR(V50="менее 1,00 мкг/кг",V50="менее 2,5 мкг/кг",V50="менее 0,16 мкг/кг",V50="более 32,00 мкг/кг",V50="более 160,0 мкг/кг",V50="более 8,00 мкг/кг"),"",ROUND(0.01*T50*VLOOKUP(D50,$Z$3:$AC$6,3,FALSE),2)))</f>
        <v/>
      </c>
      <c r="T50" s="158" t="str">
        <f t="shared" ref="T50" si="135">IF(OR(I50="",I51=""),"",IF(OR(V50="менее 1,00 мкг/кг",V50="менее 2,5 мкг/кг",V50="менее 0,16 мкг/кг",V50="более 32,00 мкг/кг",V50="более 160,0 мкг/кг",V50="более 8,00 мкг/кг"),"",IF(OR(D50="молоко, сухое молоко, детское питание",D50="молоко сгущенное"),TEXT(R50,"0,00"),TEXT(R51,"0,0"))))</f>
        <v/>
      </c>
      <c r="U50" s="155" t="str">
        <f t="shared" si="15"/>
        <v/>
      </c>
      <c r="V50" s="145" t="str">
        <f t="shared" ref="V50" si="136">IF(I50="","",IF(AND(D50="мясо, рыба, субпродукты",OR(R50&lt;2.5,I50&gt;=$I$22,I51&gt;=$I$22)),"менее 2,5 мкг/кг",IF(AND(D50="мясо, рыба, субпродукты",R50&gt;160,R50&lt;&gt;""),"более 160,0 мкг/кг",IF(AND(D50="молоко сгущенное",OR(R50&lt;1,I50&gt;=$I$22,I51&gt;=$I$22)),"менее 1,00 мкг/кг",IF(AND(D50="молоко сгущенное",R50&gt;32,R50&lt;&gt;""),"более 32,00 мкг/кг",IF(AND(D50="молоко, сухое молоко, детское питание",OR(R50&lt;0.16,I50&gt;=$I$22,I51&gt;=$I$22)),"менее 0,16 мкг/кг",IF(AND(D50="молоко, сухое молоко, детское питание",R50&gt;8,R50&lt;&gt;""),"более 8,00 мкг/кг",IF(AND(D50="молочная сыворотка, творог, сыр, масло, сливки, кисломолочные продукты, мороженное",OR(R50&lt;2.5,I50&gt;=$I$22,I51&gt;=$I$22)),"менее 2,5 мкг/кг",IF(AND(D50="молочная сыворотка, творог, сыр, масло, сливки, кисломолочные продукты, мороженное",R50&gt;160,R50&lt;&gt;""),"более 160,0 мкг/кг","соответствует")))))))))</f>
        <v/>
      </c>
    </row>
    <row r="51" spans="1:22" ht="16.5" customHeight="1" thickTop="1" thickBot="1">
      <c r="A51" s="157"/>
      <c r="B51" s="164"/>
      <c r="C51" s="164"/>
      <c r="D51" s="154"/>
      <c r="E51" s="154"/>
      <c r="F51" s="79"/>
      <c r="G51" s="111"/>
      <c r="H51" s="148"/>
      <c r="I51" s="86"/>
      <c r="J51" s="93" t="str">
        <f t="shared" si="21"/>
        <v/>
      </c>
      <c r="K51" s="94" t="str">
        <f t="shared" si="16"/>
        <v/>
      </c>
      <c r="L51" s="94"/>
      <c r="M51" s="41" t="str">
        <f t="shared" si="17"/>
        <v/>
      </c>
      <c r="N51" s="150" t="str">
        <f t="shared" ref="N51" si="137">IF(I51=M51,"0,0%",STDEV(I51:M51)/AVERAGE(I51:M51))</f>
        <v>0,0%</v>
      </c>
      <c r="O51" s="41" t="str">
        <f t="shared" ref="O51" si="138">IF(M51="","",10^((M51-INTERCEPT($M$11:$M$16,$J$11:$J$16))/SLOPE($M$11:$M$16,$J$11:$J$16))*H50)</f>
        <v/>
      </c>
      <c r="P51" s="11" t="e">
        <f>VLOOKUP(D50,$Z$3:$AC$6,2,FALSE)</f>
        <v>#N/A</v>
      </c>
      <c r="Q51" s="152"/>
      <c r="R51" s="105" t="str">
        <f t="shared" ref="R51" si="139">IF(O50="","",IF(OR(D50="мясо, рыба, субпродукты",D50="молочная сыворотка, творог, сыр, масло, сливки, кисломолочные продукты, мороженное"),ROUND(AVERAGE(O50:O51),1),ROUND(AVERAGE(O50:O51),1)))</f>
        <v/>
      </c>
      <c r="S51" s="103" t="str">
        <f t="shared" ref="S51" si="140">IF(OR(I50="",I51=""),"",IF(OR(V50="менее 1,00 мкг/кг",V50="менее 2,5 мкг/кг",V50="менее 0,16 мкг/кг",V50="более 32,00 мкг/кг",V50="более 160,0 мкг/кг",V50="более 8,00 мкг/кг"),"",ROUND(0.01*T50*VLOOKUP(D50,$Z$3:$AC$6,3,FALSE),1)))</f>
        <v/>
      </c>
      <c r="T51" s="159"/>
      <c r="U51" s="156"/>
      <c r="V51" s="146"/>
    </row>
    <row r="52" spans="1:22" ht="15.75" customHeight="1" thickTop="1" thickBot="1">
      <c r="A52" s="129">
        <v>12</v>
      </c>
      <c r="B52" s="164"/>
      <c r="C52" s="164"/>
      <c r="D52" s="154"/>
      <c r="E52" s="154"/>
      <c r="F52" s="77"/>
      <c r="G52" s="110"/>
      <c r="H52" s="147" t="str">
        <f t="shared" ref="H52" si="141">IF(D52="","",VLOOKUP(D52,$Z$3:$AC$6,4,FALSE))</f>
        <v/>
      </c>
      <c r="I52" s="86"/>
      <c r="J52" s="93" t="str">
        <f t="shared" si="21"/>
        <v/>
      </c>
      <c r="K52" s="94" t="str">
        <f t="shared" si="16"/>
        <v/>
      </c>
      <c r="L52" s="94"/>
      <c r="M52" s="41" t="str">
        <f t="shared" si="17"/>
        <v/>
      </c>
      <c r="N52" s="149" t="str">
        <f t="shared" ref="N52" si="142">IF(OR(I53="",I52=""),"",IF(M52="","",STDEV(J52:J53)/AVERAGE(J52:J53)))</f>
        <v/>
      </c>
      <c r="O52" s="41" t="str">
        <f t="shared" ref="O52" si="143">IF(M52="","",10^((M52-INTERCEPT($M$11:$M$16,$J$11:$J$16))/SLOPE($M$11:$M$16,$J$11:$J$16))*H52)</f>
        <v/>
      </c>
      <c r="P52" s="10" t="e">
        <f t="shared" ref="P52" si="144">ABS(O52-O53)</f>
        <v>#VALUE!</v>
      </c>
      <c r="Q52" s="151" t="str">
        <f t="shared" ref="Q52" si="145">IF(T52="","",IF(OR(V52="менее 1,00 мкг/кг",V52="менее 2,5 мкг/кг",V52="менее 0,16 мкг/кг",V52="более 32,00 мкг/кг",V52="более 160,0 мкг/кг",V52="более 8,00 мкг/кг"),"",IF(0.01*T52*P53&gt;P52,"приемлемы","неприемлемы")))</f>
        <v/>
      </c>
      <c r="R52" s="102" t="str">
        <f t="shared" ref="R52" si="146">IF(O52="","",IF(OR(D52="мясо, рыба, субпродукты",D52="молочная сыворотка, творог, сыр, масло, сливки, кисломолочные продукты, мороженное"),ROUND(AVERAGE(O52:O53),1),ROUND(AVERAGE(O52:O53),2)))</f>
        <v/>
      </c>
      <c r="S52" s="102" t="str">
        <f t="shared" ref="S52" si="147">IF(OR(I52="",I53=""),"",IF(OR(V52="менее 1,00 мкг/кг",V52="менее 2,5 мкг/кг",V52="менее 0,16 мкг/кг",V52="более 32,00 мкг/кг",V52="более 160,0 мкг/кг",V52="более 8,00 мкг/кг"),"",ROUND(0.01*T52*VLOOKUP(D52,$Z$3:$AC$6,3,FALSE),2)))</f>
        <v/>
      </c>
      <c r="T52" s="158" t="str">
        <f t="shared" ref="T52" si="148">IF(OR(I52="",I53=""),"",IF(OR(V52="менее 1,00 мкг/кг",V52="менее 2,5 мкг/кг",V52="менее 0,16 мкг/кг",V52="более 32,00 мкг/кг",V52="более 160,0 мкг/кг",V52="более 8,00 мкг/кг"),"",IF(OR(D52="молоко, сухое молоко, детское питание",D52="молоко сгущенное"),TEXT(R52,"0,00"),TEXT(R53,"0,0"))))</f>
        <v/>
      </c>
      <c r="U52" s="155" t="str">
        <f t="shared" si="15"/>
        <v/>
      </c>
      <c r="V52" s="145" t="str">
        <f t="shared" ref="V52" si="149">IF(I52="","",IF(AND(D52="мясо, рыба, субпродукты",OR(R52&lt;2.5,I52&gt;=$I$22,I53&gt;=$I$22)),"менее 2,5 мкг/кг",IF(AND(D52="мясо, рыба, субпродукты",R52&gt;160,R52&lt;&gt;""),"более 160,0 мкг/кг",IF(AND(D52="молоко сгущенное",OR(R52&lt;1,I52&gt;=$I$22,I53&gt;=$I$22)),"менее 1,00 мкг/кг",IF(AND(D52="молоко сгущенное",R52&gt;32,R52&lt;&gt;""),"более 32,00 мкг/кг",IF(AND(D52="молоко, сухое молоко, детское питание",OR(R52&lt;0.16,I52&gt;=$I$22,I53&gt;=$I$22)),"менее 0,16 мкг/кг",IF(AND(D52="молоко, сухое молоко, детское питание",R52&gt;8,R52&lt;&gt;""),"более 8,00 мкг/кг",IF(AND(D52="молочная сыворотка, творог, сыр, масло, сливки, кисломолочные продукты, мороженное",OR(R52&lt;2.5,I52&gt;=$I$22,I53&gt;=$I$22)),"менее 2,5 мкг/кг",IF(AND(D52="молочная сыворотка, творог, сыр, масло, сливки, кисломолочные продукты, мороженное",R52&gt;160,R52&lt;&gt;""),"более 160,0 мкг/кг","соответствует")))))))))</f>
        <v/>
      </c>
    </row>
    <row r="53" spans="1:22" ht="15.75" customHeight="1" thickTop="1" thickBot="1">
      <c r="A53" s="157"/>
      <c r="B53" s="164"/>
      <c r="C53" s="164"/>
      <c r="D53" s="154"/>
      <c r="E53" s="154"/>
      <c r="F53" s="79"/>
      <c r="G53" s="111"/>
      <c r="H53" s="148"/>
      <c r="I53" s="86"/>
      <c r="J53" s="93" t="str">
        <f t="shared" si="21"/>
        <v/>
      </c>
      <c r="K53" s="94" t="str">
        <f t="shared" si="16"/>
        <v/>
      </c>
      <c r="L53" s="94"/>
      <c r="M53" s="41" t="str">
        <f t="shared" si="17"/>
        <v/>
      </c>
      <c r="N53" s="150" t="str">
        <f t="shared" ref="N53" si="150">IF(I53=M53,"0,0%",STDEV(I53:M53)/AVERAGE(I53:M53))</f>
        <v>0,0%</v>
      </c>
      <c r="O53" s="41" t="str">
        <f t="shared" ref="O53" si="151">IF(M53="","",10^((M53-INTERCEPT($M$11:$M$16,$J$11:$J$16))/SLOPE($M$11:$M$16,$J$11:$J$16))*H52)</f>
        <v/>
      </c>
      <c r="P53" s="11" t="e">
        <f>VLOOKUP(D52,$Z$3:$AC$6,2,FALSE)</f>
        <v>#N/A</v>
      </c>
      <c r="Q53" s="152"/>
      <c r="R53" s="105" t="str">
        <f t="shared" ref="R53" si="152">IF(O52="","",IF(OR(D52="мясо, рыба, субпродукты",D52="молочная сыворотка, творог, сыр, масло, сливки, кисломолочные продукты, мороженное"),ROUND(AVERAGE(O52:O53),1),ROUND(AVERAGE(O52:O53),1)))</f>
        <v/>
      </c>
      <c r="S53" s="103" t="str">
        <f t="shared" ref="S53" si="153">IF(OR(I52="",I53=""),"",IF(OR(V52="менее 1,00 мкг/кг",V52="менее 2,5 мкг/кг",V52="менее 0,16 мкг/кг",V52="более 32,00 мкг/кг",V52="более 160,0 мкг/кг",V52="более 8,00 мкг/кг"),"",ROUND(0.01*T52*VLOOKUP(D52,$Z$3:$AC$6,3,FALSE),1)))</f>
        <v/>
      </c>
      <c r="T53" s="159"/>
      <c r="U53" s="156"/>
      <c r="V53" s="146"/>
    </row>
    <row r="54" spans="1:22" ht="15.75" customHeight="1" thickTop="1" thickBot="1">
      <c r="A54" s="129">
        <v>13</v>
      </c>
      <c r="B54" s="164"/>
      <c r="C54" s="164"/>
      <c r="D54" s="154"/>
      <c r="E54" s="154"/>
      <c r="F54" s="77"/>
      <c r="G54" s="110"/>
      <c r="H54" s="147" t="str">
        <f t="shared" ref="H54" si="154">IF(D54="","",VLOOKUP(D54,$Z$3:$AC$6,4,FALSE))</f>
        <v/>
      </c>
      <c r="I54" s="86"/>
      <c r="J54" s="93" t="str">
        <f t="shared" si="21"/>
        <v/>
      </c>
      <c r="K54" s="94" t="str">
        <f t="shared" si="16"/>
        <v/>
      </c>
      <c r="L54" s="94"/>
      <c r="M54" s="41" t="str">
        <f t="shared" si="17"/>
        <v/>
      </c>
      <c r="N54" s="149" t="str">
        <f t="shared" ref="N54" si="155">IF(OR(I55="",I54=""),"",IF(M54="","",STDEV(J54:J55)/AVERAGE(J54:J55)))</f>
        <v/>
      </c>
      <c r="O54" s="41" t="str">
        <f t="shared" ref="O54" si="156">IF(M54="","",10^((M54-INTERCEPT($M$11:$M$16,$J$11:$J$16))/SLOPE($M$11:$M$16,$J$11:$J$16))*H54)</f>
        <v/>
      </c>
      <c r="P54" s="10" t="e">
        <f t="shared" ref="P54" si="157">ABS(O54-O55)</f>
        <v>#VALUE!</v>
      </c>
      <c r="Q54" s="151" t="str">
        <f t="shared" ref="Q54" si="158">IF(T54="","",IF(OR(V54="менее 1,00 мкг/кг",V54="менее 2,5 мкг/кг",V54="менее 0,16 мкг/кг",V54="более 32,00 мкг/кг",V54="более 160,0 мкг/кг",V54="более 8,00 мкг/кг"),"",IF(0.01*T54*P55&gt;P54,"приемлемы","неприемлемы")))</f>
        <v/>
      </c>
      <c r="R54" s="102" t="str">
        <f t="shared" ref="R54" si="159">IF(O54="","",IF(OR(D54="мясо, рыба, субпродукты",D54="молочная сыворотка, творог, сыр, масло, сливки, кисломолочные продукты, мороженное"),ROUND(AVERAGE(O54:O55),1),ROUND(AVERAGE(O54:O55),2)))</f>
        <v/>
      </c>
      <c r="S54" s="102" t="str">
        <f t="shared" ref="S54" si="160">IF(OR(I54="",I55=""),"",IF(OR(V54="менее 1,00 мкг/кг",V54="менее 2,5 мкг/кг",V54="менее 0,16 мкг/кг",V54="более 32,00 мкг/кг",V54="более 160,0 мкг/кг",V54="более 8,00 мкг/кг"),"",ROUND(0.01*T54*VLOOKUP(D54,$Z$3:$AC$6,3,FALSE),2)))</f>
        <v/>
      </c>
      <c r="T54" s="158" t="str">
        <f t="shared" ref="T54" si="161">IF(OR(I54="",I55=""),"",IF(OR(V54="менее 1,00 мкг/кг",V54="менее 2,5 мкг/кг",V54="менее 0,16 мкг/кг",V54="более 32,00 мкг/кг",V54="более 160,0 мкг/кг",V54="более 8,00 мкг/кг"),"",IF(OR(D54="молоко, сухое молоко, детское питание",D54="молоко сгущенное"),TEXT(R54,"0,00"),TEXT(R55,"0,0"))))</f>
        <v/>
      </c>
      <c r="U54" s="155" t="str">
        <f t="shared" si="15"/>
        <v/>
      </c>
      <c r="V54" s="145" t="str">
        <f t="shared" ref="V54" si="162">IF(I54="","",IF(AND(D54="мясо, рыба, субпродукты",OR(R54&lt;2.5,I54&gt;=$I$22,I55&gt;=$I$22)),"менее 2,5 мкг/кг",IF(AND(D54="мясо, рыба, субпродукты",R54&gt;160,R54&lt;&gt;""),"более 160,0 мкг/кг",IF(AND(D54="молоко сгущенное",OR(R54&lt;1,I54&gt;=$I$22,I55&gt;=$I$22)),"менее 1,00 мкг/кг",IF(AND(D54="молоко сгущенное",R54&gt;32,R54&lt;&gt;""),"более 32,00 мкг/кг",IF(AND(D54="молоко, сухое молоко, детское питание",OR(R54&lt;0.16,I54&gt;=$I$22,I55&gt;=$I$22)),"менее 0,16 мкг/кг",IF(AND(D54="молоко, сухое молоко, детское питание",R54&gt;8,R54&lt;&gt;""),"более 8,00 мкг/кг",IF(AND(D54="молочная сыворотка, творог, сыр, масло, сливки, кисломолочные продукты, мороженное",OR(R54&lt;2.5,I54&gt;=$I$22,I55&gt;=$I$22)),"менее 2,5 мкг/кг",IF(AND(D54="молочная сыворотка, творог, сыр, масло, сливки, кисломолочные продукты, мороженное",R54&gt;160,R54&lt;&gt;""),"более 160,0 мкг/кг","соответствует")))))))))</f>
        <v/>
      </c>
    </row>
    <row r="55" spans="1:22" ht="15.75" customHeight="1" thickTop="1" thickBot="1">
      <c r="A55" s="157"/>
      <c r="B55" s="164"/>
      <c r="C55" s="164"/>
      <c r="D55" s="154"/>
      <c r="E55" s="154"/>
      <c r="F55" s="79"/>
      <c r="G55" s="111"/>
      <c r="H55" s="148"/>
      <c r="I55" s="86"/>
      <c r="J55" s="93" t="str">
        <f t="shared" si="21"/>
        <v/>
      </c>
      <c r="K55" s="94" t="str">
        <f t="shared" si="16"/>
        <v/>
      </c>
      <c r="L55" s="94"/>
      <c r="M55" s="41" t="str">
        <f t="shared" si="17"/>
        <v/>
      </c>
      <c r="N55" s="150" t="str">
        <f t="shared" ref="N55" si="163">IF(I55=M55,"0,0%",STDEV(I55:M55)/AVERAGE(I55:M55))</f>
        <v>0,0%</v>
      </c>
      <c r="O55" s="41" t="str">
        <f t="shared" ref="O55" si="164">IF(M55="","",10^((M55-INTERCEPT($M$11:$M$16,$J$11:$J$16))/SLOPE($M$11:$M$16,$J$11:$J$16))*H54)</f>
        <v/>
      </c>
      <c r="P55" s="11" t="e">
        <f>VLOOKUP(D54,$Z$3:$AC$6,2,FALSE)</f>
        <v>#N/A</v>
      </c>
      <c r="Q55" s="152"/>
      <c r="R55" s="105" t="str">
        <f t="shared" ref="R55" si="165">IF(O54="","",IF(OR(D54="мясо, рыба, субпродукты",D54="молочная сыворотка, творог, сыр, масло, сливки, кисломолочные продукты, мороженное"),ROUND(AVERAGE(O54:O55),1),ROUND(AVERAGE(O54:O55),1)))</f>
        <v/>
      </c>
      <c r="S55" s="103" t="str">
        <f t="shared" ref="S55" si="166">IF(OR(I54="",I55=""),"",IF(OR(V54="менее 1,00 мкг/кг",V54="менее 2,5 мкг/кг",V54="менее 0,16 мкг/кг",V54="более 32,00 мкг/кг",V54="более 160,0 мкг/кг",V54="более 8,00 мкг/кг"),"",ROUND(0.01*T54*VLOOKUP(D54,$Z$3:$AC$6,3,FALSE),1)))</f>
        <v/>
      </c>
      <c r="T55" s="159"/>
      <c r="U55" s="156"/>
      <c r="V55" s="146"/>
    </row>
    <row r="56" spans="1:22" ht="15.75" customHeight="1" thickTop="1" thickBot="1">
      <c r="A56" s="129">
        <v>14</v>
      </c>
      <c r="B56" s="164"/>
      <c r="C56" s="164"/>
      <c r="D56" s="154"/>
      <c r="E56" s="154"/>
      <c r="F56" s="77"/>
      <c r="G56" s="110"/>
      <c r="H56" s="147" t="str">
        <f t="shared" ref="H56" si="167">IF(D56="","",VLOOKUP(D56,$Z$3:$AC$6,4,FALSE))</f>
        <v/>
      </c>
      <c r="I56" s="86"/>
      <c r="J56" s="93" t="str">
        <f t="shared" si="21"/>
        <v/>
      </c>
      <c r="K56" s="94" t="str">
        <f t="shared" si="16"/>
        <v/>
      </c>
      <c r="L56" s="94"/>
      <c r="M56" s="41" t="str">
        <f t="shared" si="17"/>
        <v/>
      </c>
      <c r="N56" s="149" t="str">
        <f t="shared" ref="N56" si="168">IF(OR(I57="",I56=""),"",IF(M56="","",STDEV(J56:J57)/AVERAGE(J56:J57)))</f>
        <v/>
      </c>
      <c r="O56" s="41" t="str">
        <f t="shared" ref="O56" si="169">IF(M56="","",10^((M56-INTERCEPT($M$11:$M$16,$J$11:$J$16))/SLOPE($M$11:$M$16,$J$11:$J$16))*H56)</f>
        <v/>
      </c>
      <c r="P56" s="10" t="e">
        <f t="shared" ref="P56" si="170">ABS(O56-O57)</f>
        <v>#VALUE!</v>
      </c>
      <c r="Q56" s="151" t="str">
        <f t="shared" ref="Q56" si="171">IF(T56="","",IF(OR(V56="менее 1,00 мкг/кг",V56="менее 2,5 мкг/кг",V56="менее 0,16 мкг/кг",V56="более 32,00 мкг/кг",V56="более 160,0 мкг/кг",V56="более 8,00 мкг/кг"),"",IF(0.01*T56*P57&gt;P56,"приемлемы","неприемлемы")))</f>
        <v/>
      </c>
      <c r="R56" s="102" t="str">
        <f t="shared" ref="R56" si="172">IF(O56="","",IF(OR(D56="мясо, рыба, субпродукты",D56="молочная сыворотка, творог, сыр, масло, сливки, кисломолочные продукты, мороженное"),ROUND(AVERAGE(O56:O57),1),ROUND(AVERAGE(O56:O57),2)))</f>
        <v/>
      </c>
      <c r="S56" s="102" t="str">
        <f t="shared" ref="S56" si="173">IF(OR(I56="",I57=""),"",IF(OR(V56="менее 1,00 мкг/кг",V56="менее 2,5 мкг/кг",V56="менее 0,16 мкг/кг",V56="более 32,00 мкг/кг",V56="более 160,0 мкг/кг",V56="более 8,00 мкг/кг"),"",ROUND(0.01*T56*VLOOKUP(D56,$Z$3:$AC$6,3,FALSE),2)))</f>
        <v/>
      </c>
      <c r="T56" s="158" t="str">
        <f t="shared" ref="T56" si="174">IF(OR(I56="",I57=""),"",IF(OR(V56="менее 1,00 мкг/кг",V56="менее 2,5 мкг/кг",V56="менее 0,16 мкг/кг",V56="более 32,00 мкг/кг",V56="более 160,0 мкг/кг",V56="более 8,00 мкг/кг"),"",IF(OR(D56="молоко, сухое молоко, детское питание",D56="молоко сгущенное"),TEXT(R56,"0,00"),TEXT(R57,"0,0"))))</f>
        <v/>
      </c>
      <c r="U56" s="155" t="str">
        <f t="shared" si="15"/>
        <v/>
      </c>
      <c r="V56" s="145" t="str">
        <f t="shared" ref="V56" si="175">IF(I56="","",IF(AND(D56="мясо, рыба, субпродукты",OR(R56&lt;2.5,I56&gt;=$I$22,I57&gt;=$I$22)),"менее 2,5 мкг/кг",IF(AND(D56="мясо, рыба, субпродукты",R56&gt;160,R56&lt;&gt;""),"более 160,0 мкг/кг",IF(AND(D56="молоко сгущенное",OR(R56&lt;1,I56&gt;=$I$22,I57&gt;=$I$22)),"менее 1,00 мкг/кг",IF(AND(D56="молоко сгущенное",R56&gt;32,R56&lt;&gt;""),"более 32,00 мкг/кг",IF(AND(D56="молоко, сухое молоко, детское питание",OR(R56&lt;0.16,I56&gt;=$I$22,I57&gt;=$I$22)),"менее 0,16 мкг/кг",IF(AND(D56="молоко, сухое молоко, детское питание",R56&gt;8,R56&lt;&gt;""),"более 8,00 мкг/кг",IF(AND(D56="молочная сыворотка, творог, сыр, масло, сливки, кисломолочные продукты, мороженное",OR(R56&lt;2.5,I56&gt;=$I$22,I57&gt;=$I$22)),"менее 2,5 мкг/кг",IF(AND(D56="молочная сыворотка, творог, сыр, масло, сливки, кисломолочные продукты, мороженное",R56&gt;160,R56&lt;&gt;""),"более 160,0 мкг/кг","соответствует")))))))))</f>
        <v/>
      </c>
    </row>
    <row r="57" spans="1:22" ht="15.75" customHeight="1" thickTop="1" thickBot="1">
      <c r="A57" s="157"/>
      <c r="B57" s="164"/>
      <c r="C57" s="164"/>
      <c r="D57" s="154"/>
      <c r="E57" s="154"/>
      <c r="F57" s="79"/>
      <c r="G57" s="111"/>
      <c r="H57" s="148"/>
      <c r="I57" s="86"/>
      <c r="J57" s="93" t="str">
        <f t="shared" si="21"/>
        <v/>
      </c>
      <c r="K57" s="94" t="str">
        <f t="shared" si="16"/>
        <v/>
      </c>
      <c r="L57" s="94"/>
      <c r="M57" s="41" t="str">
        <f t="shared" si="17"/>
        <v/>
      </c>
      <c r="N57" s="150" t="str">
        <f t="shared" ref="N57" si="176">IF(I57=M57,"0,0%",STDEV(I57:M57)/AVERAGE(I57:M57))</f>
        <v>0,0%</v>
      </c>
      <c r="O57" s="41" t="str">
        <f t="shared" ref="O57" si="177">IF(M57="","",10^((M57-INTERCEPT($M$11:$M$16,$J$11:$J$16))/SLOPE($M$11:$M$16,$J$11:$J$16))*H56)</f>
        <v/>
      </c>
      <c r="P57" s="11" t="e">
        <f>VLOOKUP(D56,$Z$3:$AC$6,2,FALSE)</f>
        <v>#N/A</v>
      </c>
      <c r="Q57" s="152"/>
      <c r="R57" s="105" t="str">
        <f t="shared" ref="R57" si="178">IF(O56="","",IF(OR(D56="мясо, рыба, субпродукты",D56="молочная сыворотка, творог, сыр, масло, сливки, кисломолочные продукты, мороженное"),ROUND(AVERAGE(O56:O57),1),ROUND(AVERAGE(O56:O57),1)))</f>
        <v/>
      </c>
      <c r="S57" s="103" t="str">
        <f t="shared" ref="S57" si="179">IF(OR(I56="",I57=""),"",IF(OR(V56="менее 1,00 мкг/кг",V56="менее 2,5 мкг/кг",V56="менее 0,16 мкг/кг",V56="более 32,00 мкг/кг",V56="более 160,0 мкг/кг",V56="более 8,00 мкг/кг"),"",ROUND(0.01*T56*VLOOKUP(D56,$Z$3:$AC$6,3,FALSE),1)))</f>
        <v/>
      </c>
      <c r="T57" s="159"/>
      <c r="U57" s="156"/>
      <c r="V57" s="146"/>
    </row>
    <row r="58" spans="1:22" ht="15.75" customHeight="1" thickTop="1" thickBot="1">
      <c r="A58" s="129">
        <v>15</v>
      </c>
      <c r="B58" s="164"/>
      <c r="C58" s="164"/>
      <c r="D58" s="160"/>
      <c r="E58" s="161"/>
      <c r="F58" s="77"/>
      <c r="G58" s="110"/>
      <c r="H58" s="147" t="str">
        <f t="shared" ref="H58" si="180">IF(D58="","",VLOOKUP(D58,$Z$3:$AC$6,4,FALSE))</f>
        <v/>
      </c>
      <c r="I58" s="86"/>
      <c r="J58" s="93" t="str">
        <f t="shared" si="21"/>
        <v/>
      </c>
      <c r="K58" s="94" t="str">
        <f t="shared" si="16"/>
        <v/>
      </c>
      <c r="L58" s="94"/>
      <c r="M58" s="41" t="str">
        <f t="shared" si="17"/>
        <v/>
      </c>
      <c r="N58" s="149" t="str">
        <f t="shared" ref="N58" si="181">IF(OR(I59="",I58=""),"",IF(M58="","",STDEV(J58:J59)/AVERAGE(J58:J59)))</f>
        <v/>
      </c>
      <c r="O58" s="41" t="str">
        <f t="shared" ref="O58" si="182">IF(M58="","",10^((M58-INTERCEPT($M$11:$M$16,$J$11:$J$16))/SLOPE($M$11:$M$16,$J$11:$J$16))*H58)</f>
        <v/>
      </c>
      <c r="P58" s="10" t="e">
        <f t="shared" ref="P58" si="183">ABS(O58-O59)</f>
        <v>#VALUE!</v>
      </c>
      <c r="Q58" s="151" t="str">
        <f t="shared" ref="Q58" si="184">IF(T58="","",IF(OR(V58="менее 1,00 мкг/кг",V58="менее 2,5 мкг/кг",V58="менее 0,16 мкг/кг",V58="более 32,00 мкг/кг",V58="более 160,0 мкг/кг",V58="более 8,00 мкг/кг"),"",IF(0.01*T58*P59&gt;P58,"приемлемы","неприемлемы")))</f>
        <v/>
      </c>
      <c r="R58" s="102" t="str">
        <f t="shared" ref="R58" si="185">IF(O58="","",IF(OR(D58="мясо, рыба, субпродукты",D58="молочная сыворотка, творог, сыр, масло, сливки, кисломолочные продукты, мороженное"),ROUND(AVERAGE(O58:O59),1),ROUND(AVERAGE(O58:O59),2)))</f>
        <v/>
      </c>
      <c r="S58" s="102" t="str">
        <f t="shared" ref="S58" si="186">IF(OR(I58="",I59=""),"",IF(OR(V58="менее 1,00 мкг/кг",V58="менее 2,5 мкг/кг",V58="менее 0,16 мкг/кг",V58="более 32,00 мкг/кг",V58="более 160,0 мкг/кг",V58="более 8,00 мкг/кг"),"",ROUND(0.01*T58*VLOOKUP(D58,$Z$3:$AC$6,3,FALSE),2)))</f>
        <v/>
      </c>
      <c r="T58" s="158" t="str">
        <f t="shared" ref="T58" si="187">IF(OR(I58="",I59=""),"",IF(OR(V58="менее 1,00 мкг/кг",V58="менее 2,5 мкг/кг",V58="менее 0,16 мкг/кг",V58="более 32,00 мкг/кг",V58="более 160,0 мкг/кг",V58="более 8,00 мкг/кг"),"",IF(OR(D58="молоко, сухое молоко, детское питание",D58="молоко сгущенное"),TEXT(R58,"0,00"),TEXT(R59,"0,0"))))</f>
        <v/>
      </c>
      <c r="U58" s="155" t="str">
        <f t="shared" si="15"/>
        <v/>
      </c>
      <c r="V58" s="145" t="str">
        <f t="shared" ref="V58" si="188">IF(I58="","",IF(AND(D58="мясо, рыба, субпродукты",OR(R58&lt;2.5,I58&gt;=$I$22,I59&gt;=$I$22)),"менее 2,5 мкг/кг",IF(AND(D58="мясо, рыба, субпродукты",R58&gt;160,R58&lt;&gt;""),"более 160,0 мкг/кг",IF(AND(D58="молоко сгущенное",OR(R58&lt;1,I58&gt;=$I$22,I59&gt;=$I$22)),"менее 1,00 мкг/кг",IF(AND(D58="молоко сгущенное",R58&gt;32,R58&lt;&gt;""),"более 32,00 мкг/кг",IF(AND(D58="молоко, сухое молоко, детское питание",OR(R58&lt;0.16,I58&gt;=$I$22,I59&gt;=$I$22)),"менее 0,16 мкг/кг",IF(AND(D58="молоко, сухое молоко, детское питание",R58&gt;8,R58&lt;&gt;""),"более 8,00 мкг/кг",IF(AND(D58="молочная сыворотка, творог, сыр, масло, сливки, кисломолочные продукты, мороженное",OR(R58&lt;2.5,I58&gt;=$I$22,I59&gt;=$I$22)),"менее 2,5 мкг/кг",IF(AND(D58="молочная сыворотка, творог, сыр, масло, сливки, кисломолочные продукты, мороженное",R58&gt;160,R58&lt;&gt;""),"более 160,0 мкг/кг","соответствует")))))))))</f>
        <v/>
      </c>
    </row>
    <row r="59" spans="1:22" ht="15.75" customHeight="1" thickTop="1" thickBot="1">
      <c r="A59" s="157"/>
      <c r="B59" s="164"/>
      <c r="C59" s="164"/>
      <c r="D59" s="162"/>
      <c r="E59" s="163"/>
      <c r="F59" s="79"/>
      <c r="G59" s="111"/>
      <c r="H59" s="148"/>
      <c r="I59" s="86"/>
      <c r="J59" s="93" t="str">
        <f t="shared" si="21"/>
        <v/>
      </c>
      <c r="K59" s="94" t="str">
        <f t="shared" si="16"/>
        <v/>
      </c>
      <c r="L59" s="94"/>
      <c r="M59" s="41" t="str">
        <f t="shared" si="17"/>
        <v/>
      </c>
      <c r="N59" s="150" t="str">
        <f t="shared" ref="N59" si="189">IF(I59=M59,"0,0%",STDEV(I59:M59)/AVERAGE(I59:M59))</f>
        <v>0,0%</v>
      </c>
      <c r="O59" s="41" t="str">
        <f t="shared" ref="O59" si="190">IF(M59="","",10^((M59-INTERCEPT($M$11:$M$16,$J$11:$J$16))/SLOPE($M$11:$M$16,$J$11:$J$16))*H58)</f>
        <v/>
      </c>
      <c r="P59" s="11" t="e">
        <f>VLOOKUP(D58,$Z$3:$AC$6,2,FALSE)</f>
        <v>#N/A</v>
      </c>
      <c r="Q59" s="152"/>
      <c r="R59" s="105" t="str">
        <f t="shared" ref="R59" si="191">IF(O58="","",IF(OR(D58="мясо, рыба, субпродукты",D58="молочная сыворотка, творог, сыр, масло, сливки, кисломолочные продукты, мороженное"),ROUND(AVERAGE(O58:O59),1),ROUND(AVERAGE(O58:O59),1)))</f>
        <v/>
      </c>
      <c r="S59" s="103" t="str">
        <f t="shared" ref="S59" si="192">IF(OR(I58="",I59=""),"",IF(OR(V58="менее 1,00 мкг/кг",V58="менее 2,5 мкг/кг",V58="менее 0,16 мкг/кг",V58="более 32,00 мкг/кг",V58="более 160,0 мкг/кг",V58="более 8,00 мкг/кг"),"",ROUND(0.01*T58*VLOOKUP(D58,$Z$3:$AC$6,3,FALSE),1)))</f>
        <v/>
      </c>
      <c r="T59" s="159"/>
      <c r="U59" s="156"/>
      <c r="V59" s="146"/>
    </row>
    <row r="60" spans="1:22" ht="15.75" customHeight="1" thickTop="1" thickBot="1">
      <c r="A60" s="129">
        <v>16</v>
      </c>
      <c r="B60" s="164"/>
      <c r="C60" s="164"/>
      <c r="D60" s="154"/>
      <c r="E60" s="154"/>
      <c r="F60" s="77"/>
      <c r="G60" s="110"/>
      <c r="H60" s="147" t="str">
        <f t="shared" ref="H60" si="193">IF(D60="","",VLOOKUP(D60,$Z$3:$AC$6,4,FALSE))</f>
        <v/>
      </c>
      <c r="I60" s="86"/>
      <c r="J60" s="93" t="str">
        <f t="shared" si="21"/>
        <v/>
      </c>
      <c r="K60" s="94" t="str">
        <f t="shared" si="16"/>
        <v/>
      </c>
      <c r="L60" s="94"/>
      <c r="M60" s="41" t="str">
        <f t="shared" si="17"/>
        <v/>
      </c>
      <c r="N60" s="149" t="str">
        <f t="shared" ref="N60" si="194">IF(OR(I61="",I60=""),"",IF(M60="","",STDEV(J60:J61)/AVERAGE(J60:J61)))</f>
        <v/>
      </c>
      <c r="O60" s="41" t="str">
        <f t="shared" ref="O60" si="195">IF(M60="","",10^((M60-INTERCEPT($M$11:$M$16,$J$11:$J$16))/SLOPE($M$11:$M$16,$J$11:$J$16))*H60)</f>
        <v/>
      </c>
      <c r="P60" s="10" t="e">
        <f t="shared" ref="P60" si="196">ABS(O60-O61)</f>
        <v>#VALUE!</v>
      </c>
      <c r="Q60" s="151" t="str">
        <f t="shared" ref="Q60" si="197">IF(T60="","",IF(OR(V60="менее 1,00 мкг/кг",V60="менее 2,5 мкг/кг",V60="менее 0,16 мкг/кг",V60="более 32,00 мкг/кг",V60="более 160,0 мкг/кг",V60="более 8,00 мкг/кг"),"",IF(0.01*T60*P61&gt;P60,"приемлемы","неприемлемы")))</f>
        <v/>
      </c>
      <c r="R60" s="102" t="str">
        <f t="shared" ref="R60" si="198">IF(O60="","",IF(OR(D60="мясо, рыба, субпродукты",D60="молочная сыворотка, творог, сыр, масло, сливки, кисломолочные продукты, мороженное"),ROUND(AVERAGE(O60:O61),1),ROUND(AVERAGE(O60:O61),2)))</f>
        <v/>
      </c>
      <c r="S60" s="102" t="str">
        <f t="shared" ref="S60" si="199">IF(OR(I60="",I61=""),"",IF(OR(V60="менее 1,00 мкг/кг",V60="менее 2,5 мкг/кг",V60="менее 0,16 мкг/кг",V60="более 32,00 мкг/кг",V60="более 160,0 мкг/кг",V60="более 8,00 мкг/кг"),"",ROUND(0.01*T60*VLOOKUP(D60,$Z$3:$AC$6,3,FALSE),2)))</f>
        <v/>
      </c>
      <c r="T60" s="158" t="str">
        <f t="shared" ref="T60" si="200">IF(OR(I60="",I61=""),"",IF(OR(V60="менее 1,00 мкг/кг",V60="менее 2,5 мкг/кг",V60="менее 0,16 мкг/кг",V60="более 32,00 мкг/кг",V60="более 160,0 мкг/кг",V60="более 8,00 мкг/кг"),"",IF(OR(D60="молоко, сухое молоко, детское питание",D60="молоко сгущенное"),TEXT(R60,"0,00"),TEXT(R61,"0,0"))))</f>
        <v/>
      </c>
      <c r="U60" s="155" t="str">
        <f t="shared" si="15"/>
        <v/>
      </c>
      <c r="V60" s="145" t="str">
        <f t="shared" ref="V60" si="201">IF(I60="","",IF(AND(D60="мясо, рыба, субпродукты",OR(R60&lt;2.5,I60&gt;=$I$22,I61&gt;=$I$22)),"менее 2,5 мкг/кг",IF(AND(D60="мясо, рыба, субпродукты",R60&gt;160,R60&lt;&gt;""),"более 160,0 мкг/кг",IF(AND(D60="молоко сгущенное",OR(R60&lt;1,I60&gt;=$I$22,I61&gt;=$I$22)),"менее 1,00 мкг/кг",IF(AND(D60="молоко сгущенное",R60&gt;32,R60&lt;&gt;""),"более 32,00 мкг/кг",IF(AND(D60="молоко, сухое молоко, детское питание",OR(R60&lt;0.16,I60&gt;=$I$22,I61&gt;=$I$22)),"менее 0,16 мкг/кг",IF(AND(D60="молоко, сухое молоко, детское питание",R60&gt;8,R60&lt;&gt;""),"более 8,00 мкг/кг",IF(AND(D60="молочная сыворотка, творог, сыр, масло, сливки, кисломолочные продукты, мороженное",OR(R60&lt;2.5,I60&gt;=$I$22,I61&gt;=$I$22)),"менее 2,5 мкг/кг",IF(AND(D60="молочная сыворотка, творог, сыр, масло, сливки, кисломолочные продукты, мороженное",R60&gt;160,R60&lt;&gt;""),"более 160,0 мкг/кг","соответствует")))))))))</f>
        <v/>
      </c>
    </row>
    <row r="61" spans="1:22" ht="15.75" customHeight="1" thickTop="1" thickBot="1">
      <c r="A61" s="157"/>
      <c r="B61" s="164"/>
      <c r="C61" s="164"/>
      <c r="D61" s="154"/>
      <c r="E61" s="154"/>
      <c r="F61" s="79"/>
      <c r="G61" s="111"/>
      <c r="H61" s="148"/>
      <c r="I61" s="86"/>
      <c r="J61" s="93" t="str">
        <f t="shared" si="21"/>
        <v/>
      </c>
      <c r="K61" s="94" t="str">
        <f t="shared" si="16"/>
        <v/>
      </c>
      <c r="L61" s="94"/>
      <c r="M61" s="41" t="str">
        <f t="shared" si="17"/>
        <v/>
      </c>
      <c r="N61" s="150" t="str">
        <f t="shared" ref="N61" si="202">IF(I61=M61,"0,0%",STDEV(I61:M61)/AVERAGE(I61:M61))</f>
        <v>0,0%</v>
      </c>
      <c r="O61" s="41" t="str">
        <f t="shared" ref="O61" si="203">IF(M61="","",10^((M61-INTERCEPT($M$11:$M$16,$J$11:$J$16))/SLOPE($M$11:$M$16,$J$11:$J$16))*H60)</f>
        <v/>
      </c>
      <c r="P61" s="11" t="e">
        <f>VLOOKUP(D60,$Z$3:$AC$6,2,FALSE)</f>
        <v>#N/A</v>
      </c>
      <c r="Q61" s="152"/>
      <c r="R61" s="105" t="str">
        <f t="shared" ref="R61" si="204">IF(O60="","",IF(OR(D60="мясо, рыба, субпродукты",D60="молочная сыворотка, творог, сыр, масло, сливки, кисломолочные продукты, мороженное"),ROUND(AVERAGE(O60:O61),1),ROUND(AVERAGE(O60:O61),1)))</f>
        <v/>
      </c>
      <c r="S61" s="103" t="str">
        <f t="shared" ref="S61" si="205">IF(OR(I60="",I61=""),"",IF(OR(V60="менее 1,00 мкг/кг",V60="менее 2,5 мкг/кг",V60="менее 0,16 мкг/кг",V60="более 32,00 мкг/кг",V60="более 160,0 мкг/кг",V60="более 8,00 мкг/кг"),"",ROUND(0.01*T60*VLOOKUP(D60,$Z$3:$AC$6,3,FALSE),1)))</f>
        <v/>
      </c>
      <c r="T61" s="159"/>
      <c r="U61" s="156"/>
      <c r="V61" s="146"/>
    </row>
    <row r="62" spans="1:22" ht="15.75" customHeight="1" thickTop="1" thickBot="1">
      <c r="A62" s="129">
        <v>17</v>
      </c>
      <c r="B62" s="164"/>
      <c r="C62" s="164"/>
      <c r="D62" s="154"/>
      <c r="E62" s="154"/>
      <c r="F62" s="77"/>
      <c r="G62" s="110"/>
      <c r="H62" s="147" t="str">
        <f t="shared" ref="H62" si="206">IF(D62="","",VLOOKUP(D62,$Z$3:$AC$6,4,FALSE))</f>
        <v/>
      </c>
      <c r="I62" s="86"/>
      <c r="J62" s="93" t="str">
        <f t="shared" si="21"/>
        <v/>
      </c>
      <c r="K62" s="94" t="str">
        <f t="shared" si="16"/>
        <v/>
      </c>
      <c r="L62" s="94"/>
      <c r="M62" s="41" t="str">
        <f t="shared" si="17"/>
        <v/>
      </c>
      <c r="N62" s="149" t="str">
        <f t="shared" ref="N62" si="207">IF(OR(I63="",I62=""),"",IF(M62="","",STDEV(J62:J63)/AVERAGE(J62:J63)))</f>
        <v/>
      </c>
      <c r="O62" s="41" t="str">
        <f t="shared" ref="O62" si="208">IF(M62="","",10^((M62-INTERCEPT($M$11:$M$16,$J$11:$J$16))/SLOPE($M$11:$M$16,$J$11:$J$16))*H62)</f>
        <v/>
      </c>
      <c r="P62" s="10" t="e">
        <f t="shared" ref="P62" si="209">ABS(O62-O63)</f>
        <v>#VALUE!</v>
      </c>
      <c r="Q62" s="151" t="str">
        <f t="shared" ref="Q62" si="210">IF(T62="","",IF(OR(V62="менее 1,00 мкг/кг",V62="менее 2,5 мкг/кг",V62="менее 0,16 мкг/кг",V62="более 32,00 мкг/кг",V62="более 160,0 мкг/кг",V62="более 8,00 мкг/кг"),"",IF(0.01*T62*P63&gt;P62,"приемлемы","неприемлемы")))</f>
        <v/>
      </c>
      <c r="R62" s="102" t="str">
        <f t="shared" ref="R62" si="211">IF(O62="","",IF(OR(D62="мясо, рыба, субпродукты",D62="молочная сыворотка, творог, сыр, масло, сливки, кисломолочные продукты, мороженное"),ROUND(AVERAGE(O62:O63),1),ROUND(AVERAGE(O62:O63),2)))</f>
        <v/>
      </c>
      <c r="S62" s="102" t="str">
        <f t="shared" ref="S62" si="212">IF(OR(I62="",I63=""),"",IF(OR(V62="менее 1,00 мкг/кг",V62="менее 2,5 мкг/кг",V62="менее 0,16 мкг/кг",V62="более 32,00 мкг/кг",V62="более 160,0 мкг/кг",V62="более 8,00 мкг/кг"),"",ROUND(0.01*T62*VLOOKUP(D62,$Z$3:$AC$6,3,FALSE),2)))</f>
        <v/>
      </c>
      <c r="T62" s="158" t="str">
        <f t="shared" ref="T62" si="213">IF(OR(I62="",I63=""),"",IF(OR(V62="менее 1,00 мкг/кг",V62="менее 2,5 мкг/кг",V62="менее 0,16 мкг/кг",V62="более 32,00 мкг/кг",V62="более 160,0 мкг/кг",V62="более 8,00 мкг/кг"),"",IF(OR(D62="молоко, сухое молоко, детское питание",D62="молоко сгущенное"),TEXT(R62,"0,00"),TEXT(R63,"0,0"))))</f>
        <v/>
      </c>
      <c r="U62" s="155" t="str">
        <f t="shared" si="15"/>
        <v/>
      </c>
      <c r="V62" s="145" t="str">
        <f t="shared" ref="V62" si="214">IF(I62="","",IF(AND(D62="мясо, рыба, субпродукты",OR(R62&lt;2.5,I62&gt;=$I$22,I63&gt;=$I$22)),"менее 2,5 мкг/кг",IF(AND(D62="мясо, рыба, субпродукты",R62&gt;160,R62&lt;&gt;""),"более 160,0 мкг/кг",IF(AND(D62="молоко сгущенное",OR(R62&lt;1,I62&gt;=$I$22,I63&gt;=$I$22)),"менее 1,00 мкг/кг",IF(AND(D62="молоко сгущенное",R62&gt;32,R62&lt;&gt;""),"более 32,00 мкг/кг",IF(AND(D62="молоко, сухое молоко, детское питание",OR(R62&lt;0.16,I62&gt;=$I$22,I63&gt;=$I$22)),"менее 0,16 мкг/кг",IF(AND(D62="молоко, сухое молоко, детское питание",R62&gt;8,R62&lt;&gt;""),"более 8,00 мкг/кг",IF(AND(D62="молочная сыворотка, творог, сыр, масло, сливки, кисломолочные продукты, мороженное",OR(R62&lt;2.5,I62&gt;=$I$22,I63&gt;=$I$22)),"менее 2,5 мкг/кг",IF(AND(D62="молочная сыворотка, творог, сыр, масло, сливки, кисломолочные продукты, мороженное",R62&gt;160,R62&lt;&gt;""),"более 160,0 мкг/кг","соответствует")))))))))</f>
        <v/>
      </c>
    </row>
    <row r="63" spans="1:22" ht="15.75" customHeight="1" thickTop="1" thickBot="1">
      <c r="A63" s="157"/>
      <c r="B63" s="164"/>
      <c r="C63" s="164"/>
      <c r="D63" s="154"/>
      <c r="E63" s="154"/>
      <c r="F63" s="79"/>
      <c r="G63" s="111"/>
      <c r="H63" s="148"/>
      <c r="I63" s="86"/>
      <c r="J63" s="93" t="str">
        <f t="shared" si="21"/>
        <v/>
      </c>
      <c r="K63" s="94" t="str">
        <f t="shared" si="16"/>
        <v/>
      </c>
      <c r="L63" s="94"/>
      <c r="M63" s="41" t="str">
        <f t="shared" si="17"/>
        <v/>
      </c>
      <c r="N63" s="150" t="str">
        <f t="shared" ref="N63" si="215">IF(I63=M63,"0,0%",STDEV(I63:M63)/AVERAGE(I63:M63))</f>
        <v>0,0%</v>
      </c>
      <c r="O63" s="41" t="str">
        <f t="shared" ref="O63" si="216">IF(M63="","",10^((M63-INTERCEPT($M$11:$M$16,$J$11:$J$16))/SLOPE($M$11:$M$16,$J$11:$J$16))*H62)</f>
        <v/>
      </c>
      <c r="P63" s="11" t="e">
        <f>VLOOKUP(D62,$Z$3:$AC$6,2,FALSE)</f>
        <v>#N/A</v>
      </c>
      <c r="Q63" s="152"/>
      <c r="R63" s="105" t="str">
        <f t="shared" ref="R63" si="217">IF(O62="","",IF(OR(D62="мясо, рыба, субпродукты",D62="молочная сыворотка, творог, сыр, масло, сливки, кисломолочные продукты, мороженное"),ROUND(AVERAGE(O62:O63),1),ROUND(AVERAGE(O62:O63),1)))</f>
        <v/>
      </c>
      <c r="S63" s="103" t="str">
        <f t="shared" ref="S63" si="218">IF(OR(I62="",I63=""),"",IF(OR(V62="менее 1,00 мкг/кг",V62="менее 2,5 мкг/кг",V62="менее 0,16 мкг/кг",V62="более 32,00 мкг/кг",V62="более 160,0 мкг/кг",V62="более 8,00 мкг/кг"),"",ROUND(0.01*T62*VLOOKUP(D62,$Z$3:$AC$6,3,FALSE),1)))</f>
        <v/>
      </c>
      <c r="T63" s="159"/>
      <c r="U63" s="156"/>
      <c r="V63" s="146"/>
    </row>
    <row r="64" spans="1:22" ht="15.75" customHeight="1" thickTop="1" thickBot="1">
      <c r="A64" s="129">
        <v>18</v>
      </c>
      <c r="B64" s="164"/>
      <c r="C64" s="164"/>
      <c r="D64" s="154"/>
      <c r="E64" s="154"/>
      <c r="F64" s="77"/>
      <c r="G64" s="110"/>
      <c r="H64" s="147" t="str">
        <f t="shared" ref="H64" si="219">IF(D64="","",VLOOKUP(D64,$Z$3:$AC$6,4,FALSE))</f>
        <v/>
      </c>
      <c r="I64" s="86"/>
      <c r="J64" s="93" t="str">
        <f t="shared" si="21"/>
        <v/>
      </c>
      <c r="K64" s="94" t="str">
        <f t="shared" si="16"/>
        <v/>
      </c>
      <c r="L64" s="94"/>
      <c r="M64" s="41" t="str">
        <f t="shared" si="17"/>
        <v/>
      </c>
      <c r="N64" s="149" t="str">
        <f t="shared" ref="N64" si="220">IF(OR(I65="",I64=""),"",IF(M64="","",STDEV(J64:J65)/AVERAGE(J64:J65)))</f>
        <v/>
      </c>
      <c r="O64" s="41" t="str">
        <f t="shared" ref="O64" si="221">IF(M64="","",10^((M64-INTERCEPT($M$11:$M$16,$J$11:$J$16))/SLOPE($M$11:$M$16,$J$11:$J$16))*H64)</f>
        <v/>
      </c>
      <c r="P64" s="10" t="e">
        <f t="shared" ref="P64" si="222">ABS(O64-O65)</f>
        <v>#VALUE!</v>
      </c>
      <c r="Q64" s="151" t="str">
        <f t="shared" ref="Q64" si="223">IF(T64="","",IF(OR(V64="менее 1,00 мкг/кг",V64="менее 2,5 мкг/кг",V64="менее 0,16 мкг/кг",V64="более 32,00 мкг/кг",V64="более 160,0 мкг/кг",V64="более 8,00 мкг/кг"),"",IF(0.01*T64*P65&gt;P64,"приемлемы","неприемлемы")))</f>
        <v/>
      </c>
      <c r="R64" s="102" t="str">
        <f t="shared" ref="R64" si="224">IF(O64="","",IF(OR(D64="мясо, рыба, субпродукты",D64="молочная сыворотка, творог, сыр, масло, сливки, кисломолочные продукты, мороженное"),ROUND(AVERAGE(O64:O65),1),ROUND(AVERAGE(O64:O65),2)))</f>
        <v/>
      </c>
      <c r="S64" s="102" t="str">
        <f t="shared" ref="S64" si="225">IF(OR(I64="",I65=""),"",IF(OR(V64="менее 1,00 мкг/кг",V64="менее 2,5 мкг/кг",V64="менее 0,16 мкг/кг",V64="более 32,00 мкг/кг",V64="более 160,0 мкг/кг",V64="более 8,00 мкг/кг"),"",ROUND(0.01*T64*VLOOKUP(D64,$Z$3:$AC$6,3,FALSE),2)))</f>
        <v/>
      </c>
      <c r="T64" s="158" t="str">
        <f t="shared" ref="T64" si="226">IF(OR(I64="",I65=""),"",IF(OR(V64="менее 1,00 мкг/кг",V64="менее 2,5 мкг/кг",V64="менее 0,16 мкг/кг",V64="более 32,00 мкг/кг",V64="более 160,0 мкг/кг",V64="более 8,00 мкг/кг"),"",IF(OR(D64="молоко, сухое молоко, детское питание",D64="молоко сгущенное"),TEXT(R64,"0,00"),TEXT(R65,"0,0"))))</f>
        <v/>
      </c>
      <c r="U64" s="155" t="str">
        <f t="shared" si="15"/>
        <v/>
      </c>
      <c r="V64" s="145" t="str">
        <f t="shared" ref="V64" si="227">IF(I64="","",IF(AND(D64="мясо, рыба, субпродукты",OR(R64&lt;2.5,I64&gt;=$I$22,I65&gt;=$I$22)),"менее 2,5 мкг/кг",IF(AND(D64="мясо, рыба, субпродукты",R64&gt;160,R64&lt;&gt;""),"более 160,0 мкг/кг",IF(AND(D64="молоко сгущенное",OR(R64&lt;1,I64&gt;=$I$22,I65&gt;=$I$22)),"менее 1,00 мкг/кг",IF(AND(D64="молоко сгущенное",R64&gt;32,R64&lt;&gt;""),"более 32,00 мкг/кг",IF(AND(D64="молоко, сухое молоко, детское питание",OR(R64&lt;0.16,I64&gt;=$I$22,I65&gt;=$I$22)),"менее 0,16 мкг/кг",IF(AND(D64="молоко, сухое молоко, детское питание",R64&gt;8,R64&lt;&gt;""),"более 8,00 мкг/кг",IF(AND(D64="молочная сыворотка, творог, сыр, масло, сливки, кисломолочные продукты, мороженное",OR(R64&lt;2.5,I64&gt;=$I$22,I65&gt;=$I$22)),"менее 2,5 мкг/кг",IF(AND(D64="молочная сыворотка, творог, сыр, масло, сливки, кисломолочные продукты, мороженное",R64&gt;160,R64&lt;&gt;""),"более 160,0 мкг/кг","соответствует")))))))))</f>
        <v/>
      </c>
    </row>
    <row r="65" spans="1:22" ht="15.75" customHeight="1" thickTop="1" thickBot="1">
      <c r="A65" s="157"/>
      <c r="B65" s="164"/>
      <c r="C65" s="164"/>
      <c r="D65" s="154"/>
      <c r="E65" s="154"/>
      <c r="F65" s="79"/>
      <c r="G65" s="111"/>
      <c r="H65" s="148"/>
      <c r="I65" s="86"/>
      <c r="J65" s="93" t="str">
        <f t="shared" si="21"/>
        <v/>
      </c>
      <c r="K65" s="94" t="str">
        <f t="shared" si="16"/>
        <v/>
      </c>
      <c r="L65" s="94"/>
      <c r="M65" s="41" t="str">
        <f t="shared" si="17"/>
        <v/>
      </c>
      <c r="N65" s="150" t="str">
        <f t="shared" ref="N65" si="228">IF(I65=M65,"0,0%",STDEV(I65:M65)/AVERAGE(I65:M65))</f>
        <v>0,0%</v>
      </c>
      <c r="O65" s="41" t="str">
        <f t="shared" ref="O65" si="229">IF(M65="","",10^((M65-INTERCEPT($M$11:$M$16,$J$11:$J$16))/SLOPE($M$11:$M$16,$J$11:$J$16))*H64)</f>
        <v/>
      </c>
      <c r="P65" s="11" t="e">
        <f>VLOOKUP(D64,$Z$3:$AC$6,2,FALSE)</f>
        <v>#N/A</v>
      </c>
      <c r="Q65" s="152"/>
      <c r="R65" s="105" t="str">
        <f t="shared" ref="R65" si="230">IF(O64="","",IF(OR(D64="мясо, рыба, субпродукты",D64="молочная сыворотка, творог, сыр, масло, сливки, кисломолочные продукты, мороженное"),ROUND(AVERAGE(O64:O65),1),ROUND(AVERAGE(O64:O65),1)))</f>
        <v/>
      </c>
      <c r="S65" s="103" t="str">
        <f t="shared" ref="S65" si="231">IF(OR(I64="",I65=""),"",IF(OR(V64="менее 1,00 мкг/кг",V64="менее 2,5 мкг/кг",V64="менее 0,16 мкг/кг",V64="более 32,00 мкг/кг",V64="более 160,0 мкг/кг",V64="более 8,00 мкг/кг"),"",ROUND(0.01*T64*VLOOKUP(D64,$Z$3:$AC$6,3,FALSE),1)))</f>
        <v/>
      </c>
      <c r="T65" s="159"/>
      <c r="U65" s="156"/>
      <c r="V65" s="146"/>
    </row>
    <row r="66" spans="1:22" ht="15.75" customHeight="1" thickTop="1" thickBot="1">
      <c r="A66" s="129">
        <v>19</v>
      </c>
      <c r="B66" s="164"/>
      <c r="C66" s="164"/>
      <c r="D66" s="154"/>
      <c r="E66" s="154"/>
      <c r="F66" s="77"/>
      <c r="G66" s="110"/>
      <c r="H66" s="147" t="str">
        <f t="shared" ref="H66" si="232">IF(D66="","",VLOOKUP(D66,$Z$3:$AC$6,4,FALSE))</f>
        <v/>
      </c>
      <c r="I66" s="86"/>
      <c r="J66" s="93" t="str">
        <f t="shared" si="21"/>
        <v/>
      </c>
      <c r="K66" s="94" t="str">
        <f t="shared" si="16"/>
        <v/>
      </c>
      <c r="L66" s="94"/>
      <c r="M66" s="41" t="str">
        <f t="shared" si="17"/>
        <v/>
      </c>
      <c r="N66" s="149" t="str">
        <f t="shared" ref="N66" si="233">IF(OR(I67="",I66=""),"",IF(M66="","",STDEV(J66:J67)/AVERAGE(J66:J67)))</f>
        <v/>
      </c>
      <c r="O66" s="41" t="str">
        <f t="shared" ref="O66" si="234">IF(M66="","",10^((M66-INTERCEPT($M$11:$M$16,$J$11:$J$16))/SLOPE($M$11:$M$16,$J$11:$J$16))*H66)</f>
        <v/>
      </c>
      <c r="P66" s="10" t="e">
        <f t="shared" ref="P66" si="235">ABS(O66-O67)</f>
        <v>#VALUE!</v>
      </c>
      <c r="Q66" s="151" t="str">
        <f t="shared" ref="Q66" si="236">IF(T66="","",IF(OR(V66="менее 1,00 мкг/кг",V66="менее 2,5 мкг/кг",V66="менее 0,16 мкг/кг",V66="более 32,00 мкг/кг",V66="более 160,0 мкг/кг",V66="более 8,00 мкг/кг"),"",IF(0.01*T66*P67&gt;P66,"приемлемы","неприемлемы")))</f>
        <v/>
      </c>
      <c r="R66" s="102" t="str">
        <f t="shared" ref="R66" si="237">IF(O66="","",IF(OR(D66="мясо, рыба, субпродукты",D66="молочная сыворотка, творог, сыр, масло, сливки, кисломолочные продукты, мороженное"),ROUND(AVERAGE(O66:O67),1),ROUND(AVERAGE(O66:O67),2)))</f>
        <v/>
      </c>
      <c r="S66" s="102" t="str">
        <f t="shared" ref="S66" si="238">IF(OR(I66="",I67=""),"",IF(OR(V66="менее 1,00 мкг/кг",V66="менее 2,5 мкг/кг",V66="менее 0,16 мкг/кг",V66="более 32,00 мкг/кг",V66="более 160,0 мкг/кг",V66="более 8,00 мкг/кг"),"",ROUND(0.01*T66*VLOOKUP(D66,$Z$3:$AC$6,3,FALSE),2)))</f>
        <v/>
      </c>
      <c r="T66" s="158" t="str">
        <f t="shared" ref="T66" si="239">IF(OR(I66="",I67=""),"",IF(OR(V66="менее 1,00 мкг/кг",V66="менее 2,5 мкг/кг",V66="менее 0,16 мкг/кг",V66="более 32,00 мкг/кг",V66="более 160,0 мкг/кг",V66="более 8,00 мкг/кг"),"",IF(OR(D66="молоко, сухое молоко, детское питание",D66="молоко сгущенное"),TEXT(R66,"0,00"),TEXT(R67,"0,0"))))</f>
        <v/>
      </c>
      <c r="U66" s="155" t="str">
        <f t="shared" si="15"/>
        <v/>
      </c>
      <c r="V66" s="145" t="str">
        <f t="shared" ref="V66" si="240">IF(I66="","",IF(AND(D66="мясо, рыба, субпродукты",OR(R66&lt;2.5,I66&gt;=$I$22,I67&gt;=$I$22)),"менее 2,5 мкг/кг",IF(AND(D66="мясо, рыба, субпродукты",R66&gt;160,R66&lt;&gt;""),"более 160,0 мкг/кг",IF(AND(D66="молоко сгущенное",OR(R66&lt;1,I66&gt;=$I$22,I67&gt;=$I$22)),"менее 1,00 мкг/кг",IF(AND(D66="молоко сгущенное",R66&gt;32,R66&lt;&gt;""),"более 32,00 мкг/кг",IF(AND(D66="молоко, сухое молоко, детское питание",OR(R66&lt;0.16,I66&gt;=$I$22,I67&gt;=$I$22)),"менее 0,16 мкг/кг",IF(AND(D66="молоко, сухое молоко, детское питание",R66&gt;8,R66&lt;&gt;""),"более 8,00 мкг/кг",IF(AND(D66="молочная сыворотка, творог, сыр, масло, сливки, кисломолочные продукты, мороженное",OR(R66&lt;2.5,I66&gt;=$I$22,I67&gt;=$I$22)),"менее 2,5 мкг/кг",IF(AND(D66="молочная сыворотка, творог, сыр, масло, сливки, кисломолочные продукты, мороженное",R66&gt;160,R66&lt;&gt;""),"более 160,0 мкг/кг","соответствует")))))))))</f>
        <v/>
      </c>
    </row>
    <row r="67" spans="1:22" ht="15.75" customHeight="1" thickTop="1" thickBot="1">
      <c r="A67" s="157"/>
      <c r="B67" s="164"/>
      <c r="C67" s="164"/>
      <c r="D67" s="154"/>
      <c r="E67" s="154"/>
      <c r="F67" s="79"/>
      <c r="G67" s="111"/>
      <c r="H67" s="148"/>
      <c r="I67" s="86"/>
      <c r="J67" s="93" t="str">
        <f t="shared" si="21"/>
        <v/>
      </c>
      <c r="K67" s="94" t="str">
        <f t="shared" si="16"/>
        <v/>
      </c>
      <c r="L67" s="94"/>
      <c r="M67" s="41" t="str">
        <f t="shared" si="17"/>
        <v/>
      </c>
      <c r="N67" s="150" t="str">
        <f t="shared" ref="N67" si="241">IF(I67=M67,"0,0%",STDEV(I67:M67)/AVERAGE(I67:M67))</f>
        <v>0,0%</v>
      </c>
      <c r="O67" s="41" t="str">
        <f t="shared" ref="O67" si="242">IF(M67="","",10^((M67-INTERCEPT($M$11:$M$16,$J$11:$J$16))/SLOPE($M$11:$M$16,$J$11:$J$16))*H66)</f>
        <v/>
      </c>
      <c r="P67" s="11" t="e">
        <f>VLOOKUP(D66,$Z$3:$AC$6,2,FALSE)</f>
        <v>#N/A</v>
      </c>
      <c r="Q67" s="152"/>
      <c r="R67" s="105" t="str">
        <f t="shared" ref="R67" si="243">IF(O66="","",IF(OR(D66="мясо, рыба, субпродукты",D66="молочная сыворотка, творог, сыр, масло, сливки, кисломолочные продукты, мороженное"),ROUND(AVERAGE(O66:O67),1),ROUND(AVERAGE(O66:O67),1)))</f>
        <v/>
      </c>
      <c r="S67" s="103" t="str">
        <f t="shared" ref="S67" si="244">IF(OR(I66="",I67=""),"",IF(OR(V66="менее 1,00 мкг/кг",V66="менее 2,5 мкг/кг",V66="менее 0,16 мкг/кг",V66="более 32,00 мкг/кг",V66="более 160,0 мкг/кг",V66="более 8,00 мкг/кг"),"",ROUND(0.01*T66*VLOOKUP(D66,$Z$3:$AC$6,3,FALSE),1)))</f>
        <v/>
      </c>
      <c r="T67" s="159"/>
      <c r="U67" s="156"/>
      <c r="V67" s="146"/>
    </row>
    <row r="68" spans="1:22" ht="15.75" customHeight="1" thickTop="1" thickBot="1">
      <c r="A68" s="129">
        <v>20</v>
      </c>
      <c r="B68" s="164"/>
      <c r="C68" s="164"/>
      <c r="D68" s="160"/>
      <c r="E68" s="161"/>
      <c r="F68" s="77"/>
      <c r="G68" s="110"/>
      <c r="H68" s="147" t="str">
        <f t="shared" ref="H68" si="245">IF(D68="","",VLOOKUP(D68,$Z$3:$AC$6,4,FALSE))</f>
        <v/>
      </c>
      <c r="I68" s="86"/>
      <c r="J68" s="93" t="str">
        <f t="shared" si="21"/>
        <v/>
      </c>
      <c r="K68" s="94" t="str">
        <f t="shared" si="16"/>
        <v/>
      </c>
      <c r="L68" s="94"/>
      <c r="M68" s="41" t="str">
        <f t="shared" si="17"/>
        <v/>
      </c>
      <c r="N68" s="149" t="str">
        <f t="shared" ref="N68" si="246">IF(OR(I69="",I68=""),"",IF(M68="","",STDEV(J68:J69)/AVERAGE(J68:J69)))</f>
        <v/>
      </c>
      <c r="O68" s="41" t="str">
        <f t="shared" ref="O68" si="247">IF(M68="","",10^((M68-INTERCEPT($M$11:$M$16,$J$11:$J$16))/SLOPE($M$11:$M$16,$J$11:$J$16))*H68)</f>
        <v/>
      </c>
      <c r="P68" s="10" t="e">
        <f t="shared" ref="P68" si="248">ABS(O68-O69)</f>
        <v>#VALUE!</v>
      </c>
      <c r="Q68" s="151" t="str">
        <f t="shared" ref="Q68" si="249">IF(T68="","",IF(OR(V68="менее 1,00 мкг/кг",V68="менее 2,5 мкг/кг",V68="менее 0,16 мкг/кг",V68="более 32,00 мкг/кг",V68="более 160,0 мкг/кг",V68="более 8,00 мкг/кг"),"",IF(0.01*T68*P69&gt;P68,"приемлемы","неприемлемы")))</f>
        <v/>
      </c>
      <c r="R68" s="102" t="str">
        <f t="shared" ref="R68" si="250">IF(O68="","",IF(OR(D68="мясо, рыба, субпродукты",D68="молочная сыворотка, творог, сыр, масло, сливки, кисломолочные продукты, мороженное"),ROUND(AVERAGE(O68:O69),1),ROUND(AVERAGE(O68:O69),2)))</f>
        <v/>
      </c>
      <c r="S68" s="102" t="str">
        <f t="shared" ref="S68" si="251">IF(OR(I68="",I69=""),"",IF(OR(V68="менее 1,00 мкг/кг",V68="менее 2,5 мкг/кг",V68="менее 0,16 мкг/кг",V68="более 32,00 мкг/кг",V68="более 160,0 мкг/кг",V68="более 8,00 мкг/кг"),"",ROUND(0.01*T68*VLOOKUP(D68,$Z$3:$AC$6,3,FALSE),2)))</f>
        <v/>
      </c>
      <c r="T68" s="158" t="str">
        <f t="shared" ref="T68" si="252">IF(OR(I68="",I69=""),"",IF(OR(V68="менее 1,00 мкг/кг",V68="менее 2,5 мкг/кг",V68="менее 0,16 мкг/кг",V68="более 32,00 мкг/кг",V68="более 160,0 мкг/кг",V68="более 8,00 мкг/кг"),"",IF(OR(D68="молоко, сухое молоко, детское питание",D68="молоко сгущенное"),TEXT(R68,"0,00"),TEXT(R69,"0,0"))))</f>
        <v/>
      </c>
      <c r="U68" s="155" t="str">
        <f t="shared" si="15"/>
        <v/>
      </c>
      <c r="V68" s="145" t="str">
        <f t="shared" ref="V68" si="253">IF(I68="","",IF(AND(D68="мясо, рыба, субпродукты",OR(R68&lt;2.5,I68&gt;=$I$22,I69&gt;=$I$22)),"менее 2,5 мкг/кг",IF(AND(D68="мясо, рыба, субпродукты",R68&gt;160,R68&lt;&gt;""),"более 160,0 мкг/кг",IF(AND(D68="молоко сгущенное",OR(R68&lt;1,I68&gt;=$I$22,I69&gt;=$I$22)),"менее 1,00 мкг/кг",IF(AND(D68="молоко сгущенное",R68&gt;32,R68&lt;&gt;""),"более 32,00 мкг/кг",IF(AND(D68="молоко, сухое молоко, детское питание",OR(R68&lt;0.16,I68&gt;=$I$22,I69&gt;=$I$22)),"менее 0,16 мкг/кг",IF(AND(D68="молоко, сухое молоко, детское питание",R68&gt;8,R68&lt;&gt;""),"более 8,00 мкг/кг",IF(AND(D68="молочная сыворотка, творог, сыр, масло, сливки, кисломолочные продукты, мороженное",OR(R68&lt;2.5,I68&gt;=$I$22,I69&gt;=$I$22)),"менее 2,5 мкг/кг",IF(AND(D68="молочная сыворотка, творог, сыр, масло, сливки, кисломолочные продукты, мороженное",R68&gt;160,R68&lt;&gt;""),"более 160,0 мкг/кг","соответствует")))))))))</f>
        <v/>
      </c>
    </row>
    <row r="69" spans="1:22" ht="15.75" customHeight="1" thickTop="1" thickBot="1">
      <c r="A69" s="157"/>
      <c r="B69" s="164"/>
      <c r="C69" s="164"/>
      <c r="D69" s="162"/>
      <c r="E69" s="163"/>
      <c r="F69" s="79"/>
      <c r="G69" s="111"/>
      <c r="H69" s="148"/>
      <c r="I69" s="86"/>
      <c r="J69" s="93" t="str">
        <f t="shared" si="21"/>
        <v/>
      </c>
      <c r="K69" s="94" t="str">
        <f t="shared" si="16"/>
        <v/>
      </c>
      <c r="L69" s="94"/>
      <c r="M69" s="41" t="str">
        <f t="shared" si="17"/>
        <v/>
      </c>
      <c r="N69" s="150" t="str">
        <f t="shared" ref="N69" si="254">IF(I69=M69,"0,0%",STDEV(I69:M69)/AVERAGE(I69:M69))</f>
        <v>0,0%</v>
      </c>
      <c r="O69" s="41" t="str">
        <f t="shared" ref="O69" si="255">IF(M69="","",10^((M69-INTERCEPT($M$11:$M$16,$J$11:$J$16))/SLOPE($M$11:$M$16,$J$11:$J$16))*H68)</f>
        <v/>
      </c>
      <c r="P69" s="11" t="e">
        <f>VLOOKUP(D68,$Z$3:$AC$6,2,FALSE)</f>
        <v>#N/A</v>
      </c>
      <c r="Q69" s="152"/>
      <c r="R69" s="105" t="str">
        <f t="shared" ref="R69" si="256">IF(O68="","",IF(OR(D68="мясо, рыба, субпродукты",D68="молочная сыворотка, творог, сыр, масло, сливки, кисломолочные продукты, мороженное"),ROUND(AVERAGE(O68:O69),1),ROUND(AVERAGE(O68:O69),1)))</f>
        <v/>
      </c>
      <c r="S69" s="103" t="str">
        <f t="shared" ref="S69" si="257">IF(OR(I68="",I69=""),"",IF(OR(V68="менее 1,00 мкг/кг",V68="менее 2,5 мкг/кг",V68="менее 0,16 мкг/кг",V68="более 32,00 мкг/кг",V68="более 160,0 мкг/кг",V68="более 8,00 мкг/кг"),"",ROUND(0.01*T68*VLOOKUP(D68,$Z$3:$AC$6,3,FALSE),1)))</f>
        <v/>
      </c>
      <c r="T69" s="159"/>
      <c r="U69" s="156"/>
      <c r="V69" s="146"/>
    </row>
    <row r="70" spans="1:22" ht="15.75" customHeight="1" thickTop="1" thickBot="1">
      <c r="A70" s="129">
        <v>21</v>
      </c>
      <c r="B70" s="164"/>
      <c r="C70" s="164"/>
      <c r="D70" s="154"/>
      <c r="E70" s="154"/>
      <c r="F70" s="77"/>
      <c r="G70" s="110"/>
      <c r="H70" s="147" t="str">
        <f t="shared" ref="H70" si="258">IF(D70="","",VLOOKUP(D70,$Z$3:$AC$6,4,FALSE))</f>
        <v/>
      </c>
      <c r="I70" s="86"/>
      <c r="J70" s="93" t="str">
        <f t="shared" si="21"/>
        <v/>
      </c>
      <c r="K70" s="94" t="str">
        <f t="shared" si="16"/>
        <v/>
      </c>
      <c r="L70" s="94"/>
      <c r="M70" s="41" t="str">
        <f t="shared" si="17"/>
        <v/>
      </c>
      <c r="N70" s="149" t="str">
        <f t="shared" ref="N70" si="259">IF(OR(I71="",I70=""),"",IF(M70="","",STDEV(J70:J71)/AVERAGE(J70:J71)))</f>
        <v/>
      </c>
      <c r="O70" s="41" t="str">
        <f t="shared" ref="O70" si="260">IF(M70="","",10^((M70-INTERCEPT($M$11:$M$16,$J$11:$J$16))/SLOPE($M$11:$M$16,$J$11:$J$16))*H70)</f>
        <v/>
      </c>
      <c r="P70" s="10" t="e">
        <f t="shared" ref="P70" si="261">ABS(O70-O71)</f>
        <v>#VALUE!</v>
      </c>
      <c r="Q70" s="151" t="str">
        <f t="shared" ref="Q70" si="262">IF(T70="","",IF(OR(V70="менее 1,00 мкг/кг",V70="менее 2,5 мкг/кг",V70="менее 0,16 мкг/кг",V70="более 32,00 мкг/кг",V70="более 160,0 мкг/кг",V70="более 8,00 мкг/кг"),"",IF(0.01*T70*P71&gt;P70,"приемлемы","неприемлемы")))</f>
        <v/>
      </c>
      <c r="R70" s="102" t="str">
        <f t="shared" ref="R70" si="263">IF(O70="","",IF(OR(D70="мясо, рыба, субпродукты",D70="молочная сыворотка, творог, сыр, масло, сливки, кисломолочные продукты, мороженное"),ROUND(AVERAGE(O70:O71),1),ROUND(AVERAGE(O70:O71),2)))</f>
        <v/>
      </c>
      <c r="S70" s="102" t="str">
        <f t="shared" ref="S70" si="264">IF(OR(I70="",I71=""),"",IF(OR(V70="менее 1,00 мкг/кг",V70="менее 2,5 мкг/кг",V70="менее 0,16 мкг/кг",V70="более 32,00 мкг/кг",V70="более 160,0 мкг/кг",V70="более 8,00 мкг/кг"),"",ROUND(0.01*T70*VLOOKUP(D70,$Z$3:$AC$6,3,FALSE),2)))</f>
        <v/>
      </c>
      <c r="T70" s="158" t="str">
        <f t="shared" ref="T70" si="265">IF(OR(I70="",I71=""),"",IF(OR(V70="менее 1,00 мкг/кг",V70="менее 2,5 мкг/кг",V70="менее 0,16 мкг/кг",V70="более 32,00 мкг/кг",V70="более 160,0 мкг/кг",V70="более 8,00 мкг/кг"),"",IF(OR(D70="молоко, сухое молоко, детское питание",D70="молоко сгущенное"),TEXT(R70,"0,00"),TEXT(R71,"0,0"))))</f>
        <v/>
      </c>
      <c r="U70" s="155" t="str">
        <f t="shared" si="15"/>
        <v/>
      </c>
      <c r="V70" s="145" t="str">
        <f t="shared" ref="V70" si="266">IF(I70="","",IF(AND(D70="мясо, рыба, субпродукты",OR(R70&lt;2.5,I70&gt;=$I$22,I71&gt;=$I$22)),"менее 2,5 мкг/кг",IF(AND(D70="мясо, рыба, субпродукты",R70&gt;160,R70&lt;&gt;""),"более 160,0 мкг/кг",IF(AND(D70="молоко сгущенное",OR(R70&lt;1,I70&gt;=$I$22,I71&gt;=$I$22)),"менее 1,00 мкг/кг",IF(AND(D70="молоко сгущенное",R70&gt;32,R70&lt;&gt;""),"более 32,00 мкг/кг",IF(AND(D70="молоко, сухое молоко, детское питание",OR(R70&lt;0.16,I70&gt;=$I$22,I71&gt;=$I$22)),"менее 0,16 мкг/кг",IF(AND(D70="молоко, сухое молоко, детское питание",R70&gt;8,R70&lt;&gt;""),"более 8,00 мкг/кг",IF(AND(D70="молочная сыворотка, творог, сыр, масло, сливки, кисломолочные продукты, мороженное",OR(R70&lt;2.5,I70&gt;=$I$22,I71&gt;=$I$22)),"менее 2,5 мкг/кг",IF(AND(D70="молочная сыворотка, творог, сыр, масло, сливки, кисломолочные продукты, мороженное",R70&gt;160,R70&lt;&gt;""),"более 160,0 мкг/кг","соответствует")))))))))</f>
        <v/>
      </c>
    </row>
    <row r="71" spans="1:22" ht="15.75" customHeight="1" thickTop="1" thickBot="1">
      <c r="A71" s="157"/>
      <c r="B71" s="164"/>
      <c r="C71" s="164"/>
      <c r="D71" s="154"/>
      <c r="E71" s="154"/>
      <c r="F71" s="79"/>
      <c r="G71" s="111"/>
      <c r="H71" s="148"/>
      <c r="I71" s="86"/>
      <c r="J71" s="93" t="str">
        <f t="shared" si="21"/>
        <v/>
      </c>
      <c r="K71" s="94" t="str">
        <f t="shared" si="16"/>
        <v/>
      </c>
      <c r="L71" s="94"/>
      <c r="M71" s="41" t="str">
        <f t="shared" si="17"/>
        <v/>
      </c>
      <c r="N71" s="150" t="str">
        <f t="shared" ref="N71" si="267">IF(I71=M71,"0,0%",STDEV(I71:M71)/AVERAGE(I71:M71))</f>
        <v>0,0%</v>
      </c>
      <c r="O71" s="41" t="str">
        <f t="shared" ref="O71" si="268">IF(M71="","",10^((M71-INTERCEPT($M$11:$M$16,$J$11:$J$16))/SLOPE($M$11:$M$16,$J$11:$J$16))*H70)</f>
        <v/>
      </c>
      <c r="P71" s="11" t="e">
        <f>VLOOKUP(D70,$Z$3:$AC$6,2,FALSE)</f>
        <v>#N/A</v>
      </c>
      <c r="Q71" s="152"/>
      <c r="R71" s="105" t="str">
        <f t="shared" ref="R71" si="269">IF(O70="","",IF(OR(D70="мясо, рыба, субпродукты",D70="молочная сыворотка, творог, сыр, масло, сливки, кисломолочные продукты, мороженное"),ROUND(AVERAGE(O70:O71),1),ROUND(AVERAGE(O70:O71),1)))</f>
        <v/>
      </c>
      <c r="S71" s="103" t="str">
        <f t="shared" ref="S71" si="270">IF(OR(I70="",I71=""),"",IF(OR(V70="менее 1,00 мкг/кг",V70="менее 2,5 мкг/кг",V70="менее 0,16 мкг/кг",V70="более 32,00 мкг/кг",V70="более 160,0 мкг/кг",V70="более 8,00 мкг/кг"),"",ROUND(0.01*T70*VLOOKUP(D70,$Z$3:$AC$6,3,FALSE),1)))</f>
        <v/>
      </c>
      <c r="T71" s="159"/>
      <c r="U71" s="156"/>
      <c r="V71" s="146"/>
    </row>
    <row r="72" spans="1:22" ht="15.75" customHeight="1" thickTop="1" thickBot="1">
      <c r="A72" s="129">
        <v>22</v>
      </c>
      <c r="B72" s="164"/>
      <c r="C72" s="164"/>
      <c r="D72" s="154"/>
      <c r="E72" s="154"/>
      <c r="F72" s="77"/>
      <c r="G72" s="110"/>
      <c r="H72" s="147" t="str">
        <f>IF(D72="","",VLOOKUP(D72,$Z$3:$AC$6,4,FALSE))</f>
        <v/>
      </c>
      <c r="I72" s="86"/>
      <c r="J72" s="93" t="str">
        <f t="shared" si="21"/>
        <v/>
      </c>
      <c r="K72" s="94" t="str">
        <f t="shared" si="16"/>
        <v/>
      </c>
      <c r="L72" s="94"/>
      <c r="M72" s="41" t="str">
        <f t="shared" si="17"/>
        <v/>
      </c>
      <c r="N72" s="149" t="str">
        <f t="shared" ref="N72" si="271">IF(OR(I73="",I72=""),"",IF(M72="","",STDEV(J72:J73)/AVERAGE(J72:J73)))</f>
        <v/>
      </c>
      <c r="O72" s="41" t="str">
        <f t="shared" ref="O72" si="272">IF(M72="","",10^((M72-INTERCEPT($M$11:$M$16,$J$11:$J$16))/SLOPE($M$11:$M$16,$J$11:$J$16))*H72)</f>
        <v/>
      </c>
      <c r="P72" s="10" t="e">
        <f t="shared" ref="P72" si="273">ABS(O72-O73)</f>
        <v>#VALUE!</v>
      </c>
      <c r="Q72" s="151" t="str">
        <f t="shared" ref="Q72" si="274">IF(T72="","",IF(OR(V72="менее 1,00 мкг/кг",V72="менее 2,5 мкг/кг",V72="менее 0,16 мкг/кг",V72="более 32,00 мкг/кг",V72="более 160,0 мкг/кг",V72="более 8,00 мкг/кг"),"",IF(0.01*T72*P73&gt;P72,"приемлемы","неприемлемы")))</f>
        <v/>
      </c>
      <c r="R72" s="102" t="str">
        <f t="shared" ref="R72" si="275">IF(O72="","",IF(OR(D72="мясо, рыба, субпродукты",D72="молочная сыворотка, творог, сыр, масло, сливки, кисломолочные продукты, мороженное"),ROUND(AVERAGE(O72:O73),1),ROUND(AVERAGE(O72:O73),2)))</f>
        <v/>
      </c>
      <c r="S72" s="102" t="str">
        <f t="shared" ref="S72" si="276">IF(OR(I72="",I73=""),"",IF(OR(V72="менее 1,00 мкг/кг",V72="менее 2,5 мкг/кг",V72="менее 0,16 мкг/кг",V72="более 32,00 мкг/кг",V72="более 160,0 мкг/кг",V72="более 8,00 мкг/кг"),"",ROUND(0.01*T72*VLOOKUP(D72,$Z$3:$AC$6,3,FALSE),2)))</f>
        <v/>
      </c>
      <c r="T72" s="158" t="str">
        <f t="shared" ref="T72" si="277">IF(OR(I72="",I73=""),"",IF(OR(V72="менее 1,00 мкг/кг",V72="менее 2,5 мкг/кг",V72="менее 0,16 мкг/кг",V72="более 32,00 мкг/кг",V72="более 160,0 мкг/кг",V72="более 8,00 мкг/кг"),"",IF(OR(D72="молоко, сухое молоко, детское питание",D72="молоко сгущенное"),TEXT(R72,"0,00"),TEXT(R73,"0,0"))))</f>
        <v/>
      </c>
      <c r="U72" s="155" t="str">
        <f t="shared" si="15"/>
        <v/>
      </c>
      <c r="V72" s="145" t="str">
        <f t="shared" ref="V72" si="278">IF(I72="","",IF(AND(D72="мясо, рыба, субпродукты",OR(R72&lt;2.5,I72&gt;=$I$22,I73&gt;=$I$22)),"менее 2,5 мкг/кг",IF(AND(D72="мясо, рыба, субпродукты",R72&gt;160,R72&lt;&gt;""),"более 160,0 мкг/кг",IF(AND(D72="молоко сгущенное",OR(R72&lt;1,I72&gt;=$I$22,I73&gt;=$I$22)),"менее 1,00 мкг/кг",IF(AND(D72="молоко сгущенное",R72&gt;32,R72&lt;&gt;""),"более 32,00 мкг/кг",IF(AND(D72="молоко, сухое молоко, детское питание",OR(R72&lt;0.16,I72&gt;=$I$22,I73&gt;=$I$22)),"менее 0,16 мкг/кг",IF(AND(D72="молоко, сухое молоко, детское питание",R72&gt;8,R72&lt;&gt;""),"более 8,00 мкг/кг",IF(AND(D72="молочная сыворотка, творог, сыр, масло, сливки, кисломолочные продукты, мороженное",OR(R72&lt;2.5,I72&gt;=$I$22,I73&gt;=$I$22)),"менее 2,5 мкг/кг",IF(AND(D72="молочная сыворотка, творог, сыр, масло, сливки, кисломолочные продукты, мороженное",R72&gt;160,R72&lt;&gt;""),"более 160,0 мкг/кг","соответствует")))))))))</f>
        <v/>
      </c>
    </row>
    <row r="73" spans="1:22" ht="15.75" customHeight="1" thickTop="1" thickBot="1">
      <c r="A73" s="157"/>
      <c r="B73" s="164"/>
      <c r="C73" s="164"/>
      <c r="D73" s="154"/>
      <c r="E73" s="154"/>
      <c r="F73" s="79"/>
      <c r="G73" s="111"/>
      <c r="H73" s="148"/>
      <c r="I73" s="86"/>
      <c r="J73" s="93" t="str">
        <f t="shared" si="21"/>
        <v/>
      </c>
      <c r="K73" s="94" t="str">
        <f t="shared" si="16"/>
        <v/>
      </c>
      <c r="L73" s="94"/>
      <c r="M73" s="41" t="str">
        <f t="shared" si="17"/>
        <v/>
      </c>
      <c r="N73" s="150" t="str">
        <f t="shared" ref="N73" si="279">IF(I73=M73,"0,0%",STDEV(I73:M73)/AVERAGE(I73:M73))</f>
        <v>0,0%</v>
      </c>
      <c r="O73" s="41" t="str">
        <f t="shared" ref="O73" si="280">IF(M73="","",10^((M73-INTERCEPT($M$11:$M$16,$J$11:$J$16))/SLOPE($M$11:$M$16,$J$11:$J$16))*H72)</f>
        <v/>
      </c>
      <c r="P73" s="11" t="e">
        <f>VLOOKUP(D72,$Z$3:$AC$6,2,FALSE)</f>
        <v>#N/A</v>
      </c>
      <c r="Q73" s="152"/>
      <c r="R73" s="105" t="str">
        <f t="shared" ref="R73" si="281">IF(O72="","",IF(OR(D72="мясо, рыба, субпродукты",D72="молочная сыворотка, творог, сыр, масло, сливки, кисломолочные продукты, мороженное"),ROUND(AVERAGE(O72:O73),1),ROUND(AVERAGE(O72:O73),1)))</f>
        <v/>
      </c>
      <c r="S73" s="103" t="str">
        <f t="shared" ref="S73" si="282">IF(OR(I72="",I73=""),"",IF(OR(V72="менее 1,00 мкг/кг",V72="менее 2,5 мкг/кг",V72="менее 0,16 мкг/кг",V72="более 32,00 мкг/кг",V72="более 160,0 мкг/кг",V72="более 8,00 мкг/кг"),"",ROUND(0.01*T72*VLOOKUP(D72,$Z$3:$AC$6,3,FALSE),1)))</f>
        <v/>
      </c>
      <c r="T73" s="159"/>
      <c r="U73" s="156"/>
      <c r="V73" s="146"/>
    </row>
    <row r="74" spans="1:22" ht="15.75" customHeight="1" thickTop="1" thickBot="1">
      <c r="A74" s="129">
        <v>23</v>
      </c>
      <c r="B74" s="164"/>
      <c r="C74" s="164"/>
      <c r="D74" s="154"/>
      <c r="E74" s="154"/>
      <c r="F74" s="77"/>
      <c r="G74" s="110"/>
      <c r="H74" s="147" t="str">
        <f t="shared" ref="H74" si="283">IF(D74="","",VLOOKUP(D74,$Z$3:$AC$6,4,FALSE))</f>
        <v/>
      </c>
      <c r="I74" s="86"/>
      <c r="J74" s="93" t="str">
        <f t="shared" si="21"/>
        <v/>
      </c>
      <c r="K74" s="94" t="str">
        <f t="shared" si="16"/>
        <v/>
      </c>
      <c r="L74" s="94"/>
      <c r="M74" s="41" t="str">
        <f t="shared" si="17"/>
        <v/>
      </c>
      <c r="N74" s="149" t="str">
        <f t="shared" ref="N74" si="284">IF(OR(I75="",I74=""),"",IF(M74="","",STDEV(J74:J75)/AVERAGE(J74:J75)))</f>
        <v/>
      </c>
      <c r="O74" s="41" t="str">
        <f t="shared" ref="O74" si="285">IF(M74="","",10^((M74-INTERCEPT($M$11:$M$16,$J$11:$J$16))/SLOPE($M$11:$M$16,$J$11:$J$16))*H74)</f>
        <v/>
      </c>
      <c r="P74" s="10" t="e">
        <f t="shared" ref="P74" si="286">ABS(O74-O75)</f>
        <v>#VALUE!</v>
      </c>
      <c r="Q74" s="151" t="str">
        <f t="shared" ref="Q74" si="287">IF(T74="","",IF(OR(V74="менее 1,00 мкг/кг",V74="менее 2,5 мкг/кг",V74="менее 0,16 мкг/кг",V74="более 32,00 мкг/кг",V74="более 160,0 мкг/кг",V74="более 8,00 мкг/кг"),"",IF(0.01*T74*P75&gt;P74,"приемлемы","неприемлемы")))</f>
        <v/>
      </c>
      <c r="R74" s="102" t="str">
        <f t="shared" ref="R74" si="288">IF(O74="","",IF(OR(D74="мясо, рыба, субпродукты",D74="молочная сыворотка, творог, сыр, масло, сливки, кисломолочные продукты, мороженное"),ROUND(AVERAGE(O74:O75),1),ROUND(AVERAGE(O74:O75),2)))</f>
        <v/>
      </c>
      <c r="S74" s="102" t="str">
        <f t="shared" ref="S74" si="289">IF(OR(I74="",I75=""),"",IF(OR(V74="менее 1,00 мкг/кг",V74="менее 2,5 мкг/кг",V74="менее 0,16 мкг/кг",V74="более 32,00 мкг/кг",V74="более 160,0 мкг/кг",V74="более 8,00 мкг/кг"),"",ROUND(0.01*T74*VLOOKUP(D74,$Z$3:$AC$6,3,FALSE),2)))</f>
        <v/>
      </c>
      <c r="T74" s="158" t="str">
        <f t="shared" ref="T74" si="290">IF(OR(I74="",I75=""),"",IF(OR(V74="менее 1,00 мкг/кг",V74="менее 2,5 мкг/кг",V74="менее 0,16 мкг/кг",V74="более 32,00 мкг/кг",V74="более 160,0 мкг/кг",V74="более 8,00 мкг/кг"),"",IF(OR(D74="молоко, сухое молоко, детское питание",D74="молоко сгущенное"),TEXT(R74,"0,00"),TEXT(R75,"0,0"))))</f>
        <v/>
      </c>
      <c r="U74" s="155" t="str">
        <f t="shared" si="15"/>
        <v/>
      </c>
      <c r="V74" s="145" t="str">
        <f t="shared" ref="V74" si="291">IF(I74="","",IF(AND(D74="мясо, рыба, субпродукты",OR(R74&lt;2.5,I74&gt;=$I$22,I75&gt;=$I$22)),"менее 2,5 мкг/кг",IF(AND(D74="мясо, рыба, субпродукты",R74&gt;160,R74&lt;&gt;""),"более 160,0 мкг/кг",IF(AND(D74="молоко сгущенное",OR(R74&lt;1,I74&gt;=$I$22,I75&gt;=$I$22)),"менее 1,00 мкг/кг",IF(AND(D74="молоко сгущенное",R74&gt;32,R74&lt;&gt;""),"более 32,00 мкг/кг",IF(AND(D74="молоко, сухое молоко, детское питание",OR(R74&lt;0.16,I74&gt;=$I$22,I75&gt;=$I$22)),"менее 0,16 мкг/кг",IF(AND(D74="молоко, сухое молоко, детское питание",R74&gt;8,R74&lt;&gt;""),"более 8,00 мкг/кг",IF(AND(D74="молочная сыворотка, творог, сыр, масло, сливки, кисломолочные продукты, мороженное",OR(R74&lt;2.5,I74&gt;=$I$22,I75&gt;=$I$22)),"менее 2,5 мкг/кг",IF(AND(D74="молочная сыворотка, творог, сыр, масло, сливки, кисломолочные продукты, мороженное",R74&gt;160,R74&lt;&gt;""),"более 160,0 мкг/кг","соответствует")))))))))</f>
        <v/>
      </c>
    </row>
    <row r="75" spans="1:22" ht="15.75" customHeight="1" thickTop="1" thickBot="1">
      <c r="A75" s="157"/>
      <c r="B75" s="164"/>
      <c r="C75" s="164"/>
      <c r="D75" s="154"/>
      <c r="E75" s="154"/>
      <c r="F75" s="79"/>
      <c r="G75" s="111"/>
      <c r="H75" s="148"/>
      <c r="I75" s="86"/>
      <c r="J75" s="93" t="str">
        <f t="shared" si="21"/>
        <v/>
      </c>
      <c r="K75" s="94" t="str">
        <f t="shared" si="16"/>
        <v/>
      </c>
      <c r="L75" s="94"/>
      <c r="M75" s="41" t="str">
        <f t="shared" si="17"/>
        <v/>
      </c>
      <c r="N75" s="150" t="str">
        <f t="shared" ref="N75" si="292">IF(I75=M75,"0,0%",STDEV(I75:M75)/AVERAGE(I75:M75))</f>
        <v>0,0%</v>
      </c>
      <c r="O75" s="41" t="str">
        <f t="shared" ref="O75" si="293">IF(M75="","",10^((M75-INTERCEPT($M$11:$M$16,$J$11:$J$16))/SLOPE($M$11:$M$16,$J$11:$J$16))*H74)</f>
        <v/>
      </c>
      <c r="P75" s="11" t="e">
        <f>VLOOKUP(D74,$Z$3:$AC$6,2,FALSE)</f>
        <v>#N/A</v>
      </c>
      <c r="Q75" s="152"/>
      <c r="R75" s="105" t="str">
        <f t="shared" ref="R75" si="294">IF(O74="","",IF(OR(D74="мясо, рыба, субпродукты",D74="молочная сыворотка, творог, сыр, масло, сливки, кисломолочные продукты, мороженное"),ROUND(AVERAGE(O74:O75),1),ROUND(AVERAGE(O74:O75),1)))</f>
        <v/>
      </c>
      <c r="S75" s="103" t="str">
        <f t="shared" ref="S75" si="295">IF(OR(I74="",I75=""),"",IF(OR(V74="менее 1,00 мкг/кг",V74="менее 2,5 мкг/кг",V74="менее 0,16 мкг/кг",V74="более 32,00 мкг/кг",V74="более 160,0 мкг/кг",V74="более 8,00 мкг/кг"),"",ROUND(0.01*T74*VLOOKUP(D74,$Z$3:$AC$6,3,FALSE),1)))</f>
        <v/>
      </c>
      <c r="T75" s="159"/>
      <c r="U75" s="156"/>
      <c r="V75" s="146"/>
    </row>
    <row r="76" spans="1:22" ht="15.75" customHeight="1" thickTop="1" thickBot="1">
      <c r="A76" s="129">
        <v>24</v>
      </c>
      <c r="B76" s="164"/>
      <c r="C76" s="164"/>
      <c r="D76" s="154"/>
      <c r="E76" s="154"/>
      <c r="F76" s="77"/>
      <c r="G76" s="110"/>
      <c r="H76" s="147" t="str">
        <f t="shared" ref="H76" si="296">IF(D76="","",VLOOKUP(D76,$Z$3:$AC$6,4,FALSE))</f>
        <v/>
      </c>
      <c r="I76" s="86"/>
      <c r="J76" s="93" t="str">
        <f t="shared" si="21"/>
        <v/>
      </c>
      <c r="K76" s="94" t="str">
        <f t="shared" si="16"/>
        <v/>
      </c>
      <c r="L76" s="94"/>
      <c r="M76" s="41" t="str">
        <f t="shared" si="17"/>
        <v/>
      </c>
      <c r="N76" s="149" t="str">
        <f t="shared" ref="N76" si="297">IF(OR(I77="",I76=""),"",IF(M76="","",STDEV(J76:J77)/AVERAGE(J76:J77)))</f>
        <v/>
      </c>
      <c r="O76" s="41" t="str">
        <f t="shared" ref="O76" si="298">IF(M76="","",10^((M76-INTERCEPT($M$11:$M$16,$J$11:$J$16))/SLOPE($M$11:$M$16,$J$11:$J$16))*H76)</f>
        <v/>
      </c>
      <c r="P76" s="10" t="e">
        <f t="shared" ref="P76" si="299">ABS(O76-O77)</f>
        <v>#VALUE!</v>
      </c>
      <c r="Q76" s="151" t="str">
        <f t="shared" ref="Q76" si="300">IF(T76="","",IF(OR(V76="менее 1,00 мкг/кг",V76="менее 2,5 мкг/кг",V76="менее 0,16 мкг/кг",V76="более 32,00 мкг/кг",V76="более 160,0 мкг/кг",V76="более 8,00 мкг/кг"),"",IF(0.01*T76*P77&gt;P76,"приемлемы","неприемлемы")))</f>
        <v/>
      </c>
      <c r="R76" s="102" t="str">
        <f t="shared" ref="R76" si="301">IF(O76="","",IF(OR(D76="мясо, рыба, субпродукты",D76="молочная сыворотка, творог, сыр, масло, сливки, кисломолочные продукты, мороженное"),ROUND(AVERAGE(O76:O77),1),ROUND(AVERAGE(O76:O77),2)))</f>
        <v/>
      </c>
      <c r="S76" s="102" t="str">
        <f t="shared" ref="S76" si="302">IF(OR(I76="",I77=""),"",IF(OR(V76="менее 1,00 мкг/кг",V76="менее 2,5 мкг/кг",V76="менее 0,16 мкг/кг",V76="более 32,00 мкг/кг",V76="более 160,0 мкг/кг",V76="более 8,00 мкг/кг"),"",ROUND(0.01*T76*VLOOKUP(D76,$Z$3:$AC$6,3,FALSE),2)))</f>
        <v/>
      </c>
      <c r="T76" s="158" t="str">
        <f t="shared" ref="T76" si="303">IF(OR(I76="",I77=""),"",IF(OR(V76="менее 1,00 мкг/кг",V76="менее 2,5 мкг/кг",V76="менее 0,16 мкг/кг",V76="более 32,00 мкг/кг",V76="более 160,0 мкг/кг",V76="более 8,00 мкг/кг"),"",IF(OR(D76="молоко, сухое молоко, детское питание",D76="молоко сгущенное"),TEXT(R76,"0,00"),TEXT(R77,"0,0"))))</f>
        <v/>
      </c>
      <c r="U76" s="155" t="str">
        <f t="shared" si="15"/>
        <v/>
      </c>
      <c r="V76" s="145" t="str">
        <f t="shared" ref="V76" si="304">IF(I76="","",IF(AND(D76="мясо, рыба, субпродукты",OR(R76&lt;2.5,I76&gt;=$I$22,I77&gt;=$I$22)),"менее 2,5 мкг/кг",IF(AND(D76="мясо, рыба, субпродукты",R76&gt;160,R76&lt;&gt;""),"более 160,0 мкг/кг",IF(AND(D76="молоко сгущенное",OR(R76&lt;1,I76&gt;=$I$22,I77&gt;=$I$22)),"менее 1,00 мкг/кг",IF(AND(D76="молоко сгущенное",R76&gt;32,R76&lt;&gt;""),"более 32,00 мкг/кг",IF(AND(D76="молоко, сухое молоко, детское питание",OR(R76&lt;0.16,I76&gt;=$I$22,I77&gt;=$I$22)),"менее 0,16 мкг/кг",IF(AND(D76="молоко, сухое молоко, детское питание",R76&gt;8,R76&lt;&gt;""),"более 8,00 мкг/кг",IF(AND(D76="молочная сыворотка, творог, сыр, масло, сливки, кисломолочные продукты, мороженное",OR(R76&lt;2.5,I76&gt;=$I$22,I77&gt;=$I$22)),"менее 2,5 мкг/кг",IF(AND(D76="молочная сыворотка, творог, сыр, масло, сливки, кисломолочные продукты, мороженное",R76&gt;160,R76&lt;&gt;""),"более 160,0 мкг/кг","соответствует")))))))))</f>
        <v/>
      </c>
    </row>
    <row r="77" spans="1:22" ht="15.75" customHeight="1" thickTop="1" thickBot="1">
      <c r="A77" s="157"/>
      <c r="B77" s="164"/>
      <c r="C77" s="164"/>
      <c r="D77" s="154"/>
      <c r="E77" s="154"/>
      <c r="F77" s="79"/>
      <c r="G77" s="111"/>
      <c r="H77" s="148"/>
      <c r="I77" s="86"/>
      <c r="J77" s="93" t="str">
        <f t="shared" si="21"/>
        <v/>
      </c>
      <c r="K77" s="94" t="str">
        <f t="shared" si="16"/>
        <v/>
      </c>
      <c r="L77" s="94"/>
      <c r="M77" s="41" t="str">
        <f t="shared" si="17"/>
        <v/>
      </c>
      <c r="N77" s="150" t="str">
        <f t="shared" ref="N77" si="305">IF(I77=M77,"0,0%",STDEV(I77:M77)/AVERAGE(I77:M77))</f>
        <v>0,0%</v>
      </c>
      <c r="O77" s="41" t="str">
        <f t="shared" ref="O77" si="306">IF(M77="","",10^((M77-INTERCEPT($M$11:$M$16,$J$11:$J$16))/SLOPE($M$11:$M$16,$J$11:$J$16))*H76)</f>
        <v/>
      </c>
      <c r="P77" s="11" t="e">
        <f>VLOOKUP(D76,$Z$3:$AC$6,2,FALSE)</f>
        <v>#N/A</v>
      </c>
      <c r="Q77" s="152"/>
      <c r="R77" s="105" t="str">
        <f t="shared" ref="R77" si="307">IF(O76="","",IF(OR(D76="мясо, рыба, субпродукты",D76="молочная сыворотка, творог, сыр, масло, сливки, кисломолочные продукты, мороженное"),ROUND(AVERAGE(O76:O77),1),ROUND(AVERAGE(O76:O77),1)))</f>
        <v/>
      </c>
      <c r="S77" s="103" t="str">
        <f t="shared" ref="S77" si="308">IF(OR(I76="",I77=""),"",IF(OR(V76="менее 1,00 мкг/кг",V76="менее 2,5 мкг/кг",V76="менее 0,16 мкг/кг",V76="более 32,00 мкг/кг",V76="более 160,0 мкг/кг",V76="более 8,00 мкг/кг"),"",ROUND(0.01*T76*VLOOKUP(D76,$Z$3:$AC$6,3,FALSE),1)))</f>
        <v/>
      </c>
      <c r="T77" s="159"/>
      <c r="U77" s="156"/>
      <c r="V77" s="146"/>
    </row>
    <row r="78" spans="1:22" ht="15.75" customHeight="1" thickTop="1" thickBot="1">
      <c r="A78" s="129">
        <v>25</v>
      </c>
      <c r="B78" s="164"/>
      <c r="C78" s="164"/>
      <c r="D78" s="160"/>
      <c r="E78" s="161"/>
      <c r="F78" s="77"/>
      <c r="G78" s="110"/>
      <c r="H78" s="147" t="str">
        <f t="shared" ref="H78" si="309">IF(D78="","",VLOOKUP(D78,$Z$3:$AC$6,4,FALSE))</f>
        <v/>
      </c>
      <c r="I78" s="86"/>
      <c r="J78" s="93" t="str">
        <f t="shared" si="21"/>
        <v/>
      </c>
      <c r="K78" s="94" t="str">
        <f t="shared" si="16"/>
        <v/>
      </c>
      <c r="L78" s="94"/>
      <c r="M78" s="41" t="str">
        <f t="shared" si="17"/>
        <v/>
      </c>
      <c r="N78" s="149" t="str">
        <f t="shared" ref="N78" si="310">IF(OR(I79="",I78=""),"",IF(M78="","",STDEV(J78:J79)/AVERAGE(J78:J79)))</f>
        <v/>
      </c>
      <c r="O78" s="41" t="str">
        <f t="shared" ref="O78" si="311">IF(M78="","",10^((M78-INTERCEPT($M$11:$M$16,$J$11:$J$16))/SLOPE($M$11:$M$16,$J$11:$J$16))*H78)</f>
        <v/>
      </c>
      <c r="P78" s="10" t="e">
        <f t="shared" ref="P78" si="312">ABS(O78-O79)</f>
        <v>#VALUE!</v>
      </c>
      <c r="Q78" s="151" t="str">
        <f t="shared" ref="Q78" si="313">IF(T78="","",IF(OR(V78="менее 1,00 мкг/кг",V78="менее 2,5 мкг/кг",V78="менее 0,16 мкг/кг",V78="более 32,00 мкг/кг",V78="более 160,0 мкг/кг",V78="более 8,00 мкг/кг"),"",IF(0.01*T78*P79&gt;P78,"приемлемы","неприемлемы")))</f>
        <v/>
      </c>
      <c r="R78" s="102" t="str">
        <f t="shared" ref="R78" si="314">IF(O78="","",IF(OR(D78="мясо, рыба, субпродукты",D78="молочная сыворотка, творог, сыр, масло, сливки, кисломолочные продукты, мороженное"),ROUND(AVERAGE(O78:O79),1),ROUND(AVERAGE(O78:O79),2)))</f>
        <v/>
      </c>
      <c r="S78" s="102" t="str">
        <f t="shared" ref="S78" si="315">IF(OR(I78="",I79=""),"",IF(OR(V78="менее 1,00 мкг/кг",V78="менее 2,5 мкг/кг",V78="менее 0,16 мкг/кг",V78="более 32,00 мкг/кг",V78="более 160,0 мкг/кг",V78="более 8,00 мкг/кг"),"",ROUND(0.01*T78*VLOOKUP(D78,$Z$3:$AC$6,3,FALSE),2)))</f>
        <v/>
      </c>
      <c r="T78" s="158" t="str">
        <f t="shared" ref="T78" si="316">IF(OR(I78="",I79=""),"",IF(OR(V78="менее 1,00 мкг/кг",V78="менее 2,5 мкг/кг",V78="менее 0,16 мкг/кг",V78="более 32,00 мкг/кг",V78="более 160,0 мкг/кг",V78="более 8,00 мкг/кг"),"",IF(OR(D78="молоко, сухое молоко, детское питание",D78="молоко сгущенное"),TEXT(R78,"0,00"),TEXT(R79,"0,0"))))</f>
        <v/>
      </c>
      <c r="U78" s="155" t="str">
        <f t="shared" si="15"/>
        <v/>
      </c>
      <c r="V78" s="145" t="str">
        <f t="shared" ref="V78" si="317">IF(I78="","",IF(AND(D78="мясо, рыба, субпродукты",OR(R78&lt;2.5,I78&gt;=$I$22,I79&gt;=$I$22)),"менее 2,5 мкг/кг",IF(AND(D78="мясо, рыба, субпродукты",R78&gt;160,R78&lt;&gt;""),"более 160,0 мкг/кг",IF(AND(D78="молоко сгущенное",OR(R78&lt;1,I78&gt;=$I$22,I79&gt;=$I$22)),"менее 1,00 мкг/кг",IF(AND(D78="молоко сгущенное",R78&gt;32,R78&lt;&gt;""),"более 32,00 мкг/кг",IF(AND(D78="молоко, сухое молоко, детское питание",OR(R78&lt;0.16,I78&gt;=$I$22,I79&gt;=$I$22)),"менее 0,16 мкг/кг",IF(AND(D78="молоко, сухое молоко, детское питание",R78&gt;8,R78&lt;&gt;""),"более 8,00 мкг/кг",IF(AND(D78="молочная сыворотка, творог, сыр, масло, сливки, кисломолочные продукты, мороженное",OR(R78&lt;2.5,I78&gt;=$I$22,I79&gt;=$I$22)),"менее 2,5 мкг/кг",IF(AND(D78="молочная сыворотка, творог, сыр, масло, сливки, кисломолочные продукты, мороженное",R78&gt;160,R78&lt;&gt;""),"более 160,0 мкг/кг","соответствует")))))))))</f>
        <v/>
      </c>
    </row>
    <row r="79" spans="1:22" ht="15.75" customHeight="1" thickTop="1" thickBot="1">
      <c r="A79" s="157"/>
      <c r="B79" s="164"/>
      <c r="C79" s="164"/>
      <c r="D79" s="162"/>
      <c r="E79" s="163"/>
      <c r="F79" s="79"/>
      <c r="G79" s="111"/>
      <c r="H79" s="148"/>
      <c r="I79" s="86"/>
      <c r="J79" s="93" t="str">
        <f t="shared" si="21"/>
        <v/>
      </c>
      <c r="K79" s="94" t="str">
        <f t="shared" si="16"/>
        <v/>
      </c>
      <c r="L79" s="94"/>
      <c r="M79" s="41" t="str">
        <f t="shared" si="17"/>
        <v/>
      </c>
      <c r="N79" s="150" t="str">
        <f t="shared" ref="N79" si="318">IF(I79=M79,"0,0%",STDEV(I79:M79)/AVERAGE(I79:M79))</f>
        <v>0,0%</v>
      </c>
      <c r="O79" s="41" t="str">
        <f t="shared" ref="O79" si="319">IF(M79="","",10^((M79-INTERCEPT($M$11:$M$16,$J$11:$J$16))/SLOPE($M$11:$M$16,$J$11:$J$16))*H78)</f>
        <v/>
      </c>
      <c r="P79" s="11" t="e">
        <f>VLOOKUP(D78,$Z$3:$AC$6,2,FALSE)</f>
        <v>#N/A</v>
      </c>
      <c r="Q79" s="152"/>
      <c r="R79" s="105" t="str">
        <f t="shared" ref="R79" si="320">IF(O78="","",IF(OR(D78="мясо, рыба, субпродукты",D78="молочная сыворотка, творог, сыр, масло, сливки, кисломолочные продукты, мороженное"),ROUND(AVERAGE(O78:O79),1),ROUND(AVERAGE(O78:O79),1)))</f>
        <v/>
      </c>
      <c r="S79" s="103" t="str">
        <f t="shared" ref="S79" si="321">IF(OR(I78="",I79=""),"",IF(OR(V78="менее 1,00 мкг/кг",V78="менее 2,5 мкг/кг",V78="менее 0,16 мкг/кг",V78="более 32,00 мкг/кг",V78="более 160,0 мкг/кг",V78="более 8,00 мкг/кг"),"",ROUND(0.01*T78*VLOOKUP(D78,$Z$3:$AC$6,3,FALSE),1)))</f>
        <v/>
      </c>
      <c r="T79" s="159"/>
      <c r="U79" s="156"/>
      <c r="V79" s="146"/>
    </row>
    <row r="80" spans="1:22" ht="15.75" customHeight="1" thickTop="1" thickBot="1">
      <c r="A80" s="129">
        <v>26</v>
      </c>
      <c r="B80" s="164"/>
      <c r="C80" s="164"/>
      <c r="D80" s="154"/>
      <c r="E80" s="154"/>
      <c r="F80" s="77"/>
      <c r="G80" s="110"/>
      <c r="H80" s="147" t="str">
        <f t="shared" ref="H80" si="322">IF(D80="","",VLOOKUP(D80,$Z$3:$AC$6,4,FALSE))</f>
        <v/>
      </c>
      <c r="I80" s="86"/>
      <c r="J80" s="93" t="str">
        <f t="shared" si="21"/>
        <v/>
      </c>
      <c r="K80" s="94" t="str">
        <f t="shared" si="16"/>
        <v/>
      </c>
      <c r="L80" s="94"/>
      <c r="M80" s="41" t="str">
        <f t="shared" si="17"/>
        <v/>
      </c>
      <c r="N80" s="149" t="str">
        <f t="shared" ref="N80" si="323">IF(OR(I81="",I80=""),"",IF(M80="","",STDEV(J80:J81)/AVERAGE(J80:J81)))</f>
        <v/>
      </c>
      <c r="O80" s="41" t="str">
        <f t="shared" ref="O80" si="324">IF(M80="","",10^((M80-INTERCEPT($M$11:$M$16,$J$11:$J$16))/SLOPE($M$11:$M$16,$J$11:$J$16))*H80)</f>
        <v/>
      </c>
      <c r="P80" s="10" t="e">
        <f t="shared" ref="P80" si="325">ABS(O80-O81)</f>
        <v>#VALUE!</v>
      </c>
      <c r="Q80" s="151" t="str">
        <f t="shared" ref="Q80" si="326">IF(T80="","",IF(OR(V80="менее 1,00 мкг/кг",V80="менее 2,5 мкг/кг",V80="менее 0,16 мкг/кг",V80="более 32,00 мкг/кг",V80="более 160,0 мкг/кг",V80="более 8,00 мкг/кг"),"",IF(0.01*T80*P81&gt;P80,"приемлемы","неприемлемы")))</f>
        <v/>
      </c>
      <c r="R80" s="102" t="str">
        <f t="shared" ref="R80" si="327">IF(O80="","",IF(OR(D80="мясо, рыба, субпродукты",D80="молочная сыворотка, творог, сыр, масло, сливки, кисломолочные продукты, мороженное"),ROUND(AVERAGE(O80:O81),1),ROUND(AVERAGE(O80:O81),2)))</f>
        <v/>
      </c>
      <c r="S80" s="102" t="str">
        <f t="shared" ref="S80" si="328">IF(OR(I80="",I81=""),"",IF(OR(V80="менее 1,00 мкг/кг",V80="менее 2,5 мкг/кг",V80="менее 0,16 мкг/кг",V80="более 32,00 мкг/кг",V80="более 160,0 мкг/кг",V80="более 8,00 мкг/кг"),"",ROUND(0.01*T80*VLOOKUP(D80,$Z$3:$AC$6,3,FALSE),2)))</f>
        <v/>
      </c>
      <c r="T80" s="158" t="str">
        <f t="shared" ref="T80" si="329">IF(OR(I80="",I81=""),"",IF(OR(V80="менее 1,00 мкг/кг",V80="менее 2,5 мкг/кг",V80="менее 0,16 мкг/кг",V80="более 32,00 мкг/кг",V80="более 160,0 мкг/кг",V80="более 8,00 мкг/кг"),"",IF(OR(D80="молоко, сухое молоко, детское питание",D80="молоко сгущенное"),TEXT(R80,"0,00"),TEXT(R81,"0,0"))))</f>
        <v/>
      </c>
      <c r="U80" s="155" t="str">
        <f t="shared" si="15"/>
        <v/>
      </c>
      <c r="V80" s="145" t="str">
        <f t="shared" ref="V80" si="330">IF(I80="","",IF(AND(D80="мясо, рыба, субпродукты",OR(R80&lt;2.5,I80&gt;=$I$22,I81&gt;=$I$22)),"менее 2,5 мкг/кг",IF(AND(D80="мясо, рыба, субпродукты",R80&gt;160,R80&lt;&gt;""),"более 160,0 мкг/кг",IF(AND(D80="молоко сгущенное",OR(R80&lt;1,I80&gt;=$I$22,I81&gt;=$I$22)),"менее 1,00 мкг/кг",IF(AND(D80="молоко сгущенное",R80&gt;32,R80&lt;&gt;""),"более 32,00 мкг/кг",IF(AND(D80="молоко, сухое молоко, детское питание",OR(R80&lt;0.16,I80&gt;=$I$22,I81&gt;=$I$22)),"менее 0,16 мкг/кг",IF(AND(D80="молоко, сухое молоко, детское питание",R80&gt;8,R80&lt;&gt;""),"более 8,00 мкг/кг",IF(AND(D80="молочная сыворотка, творог, сыр, масло, сливки, кисломолочные продукты, мороженное",OR(R80&lt;2.5,I80&gt;=$I$22,I81&gt;=$I$22)),"менее 2,5 мкг/кг",IF(AND(D80="молочная сыворотка, творог, сыр, масло, сливки, кисломолочные продукты, мороженное",R80&gt;160,R80&lt;&gt;""),"более 160,0 мкг/кг","соответствует")))))))))</f>
        <v/>
      </c>
    </row>
    <row r="81" spans="1:22" ht="15.75" customHeight="1" thickTop="1" thickBot="1">
      <c r="A81" s="157"/>
      <c r="B81" s="164"/>
      <c r="C81" s="164"/>
      <c r="D81" s="154"/>
      <c r="E81" s="154"/>
      <c r="F81" s="79"/>
      <c r="G81" s="111"/>
      <c r="H81" s="148"/>
      <c r="I81" s="86"/>
      <c r="J81" s="93" t="str">
        <f t="shared" si="21"/>
        <v/>
      </c>
      <c r="K81" s="94" t="str">
        <f t="shared" si="16"/>
        <v/>
      </c>
      <c r="L81" s="94"/>
      <c r="M81" s="41" t="str">
        <f t="shared" si="17"/>
        <v/>
      </c>
      <c r="N81" s="150" t="str">
        <f t="shared" ref="N81" si="331">IF(I81=M81,"0,0%",STDEV(I81:M81)/AVERAGE(I81:M81))</f>
        <v>0,0%</v>
      </c>
      <c r="O81" s="41" t="str">
        <f t="shared" ref="O81" si="332">IF(M81="","",10^((M81-INTERCEPT($M$11:$M$16,$J$11:$J$16))/SLOPE($M$11:$M$16,$J$11:$J$16))*H80)</f>
        <v/>
      </c>
      <c r="P81" s="11" t="e">
        <f>VLOOKUP(D80,$Z$3:$AC$6,2,FALSE)</f>
        <v>#N/A</v>
      </c>
      <c r="Q81" s="152"/>
      <c r="R81" s="105" t="str">
        <f t="shared" ref="R81" si="333">IF(O80="","",IF(OR(D80="мясо, рыба, субпродукты",D80="молочная сыворотка, творог, сыр, масло, сливки, кисломолочные продукты, мороженное"),ROUND(AVERAGE(O80:O81),1),ROUND(AVERAGE(O80:O81),1)))</f>
        <v/>
      </c>
      <c r="S81" s="103" t="str">
        <f t="shared" ref="S81" si="334">IF(OR(I80="",I81=""),"",IF(OR(V80="менее 1,00 мкг/кг",V80="менее 2,5 мкг/кг",V80="менее 0,16 мкг/кг",V80="более 32,00 мкг/кг",V80="более 160,0 мкг/кг",V80="более 8,00 мкг/кг"),"",ROUND(0.01*T80*VLOOKUP(D80,$Z$3:$AC$6,3,FALSE),1)))</f>
        <v/>
      </c>
      <c r="T81" s="159"/>
      <c r="U81" s="156"/>
      <c r="V81" s="146"/>
    </row>
    <row r="82" spans="1:22" ht="15.75" customHeight="1" thickTop="1" thickBot="1">
      <c r="A82" s="129">
        <v>27</v>
      </c>
      <c r="B82" s="164"/>
      <c r="C82" s="164"/>
      <c r="D82" s="154"/>
      <c r="E82" s="154"/>
      <c r="F82" s="77"/>
      <c r="G82" s="110"/>
      <c r="H82" s="147" t="str">
        <f t="shared" ref="H82" si="335">IF(D82="","",VLOOKUP(D82,$Z$3:$AC$6,4,FALSE))</f>
        <v/>
      </c>
      <c r="I82" s="86"/>
      <c r="J82" s="93" t="str">
        <f t="shared" si="21"/>
        <v/>
      </c>
      <c r="K82" s="94" t="str">
        <f t="shared" si="16"/>
        <v/>
      </c>
      <c r="L82" s="94"/>
      <c r="M82" s="41" t="str">
        <f t="shared" si="17"/>
        <v/>
      </c>
      <c r="N82" s="149" t="str">
        <f t="shared" ref="N82" si="336">IF(OR(I83="",I82=""),"",IF(M82="","",STDEV(J82:J83)/AVERAGE(J82:J83)))</f>
        <v/>
      </c>
      <c r="O82" s="41" t="str">
        <f t="shared" ref="O82" si="337">IF(M82="","",10^((M82-INTERCEPT($M$11:$M$16,$J$11:$J$16))/SLOPE($M$11:$M$16,$J$11:$J$16))*H82)</f>
        <v/>
      </c>
      <c r="P82" s="10" t="e">
        <f t="shared" ref="P82" si="338">ABS(O82-O83)</f>
        <v>#VALUE!</v>
      </c>
      <c r="Q82" s="151" t="str">
        <f t="shared" ref="Q82" si="339">IF(T82="","",IF(OR(V82="менее 1,00 мкг/кг",V82="менее 2,5 мкг/кг",V82="менее 0,16 мкг/кг",V82="более 32,00 мкг/кг",V82="более 160,0 мкг/кг",V82="более 8,00 мкг/кг"),"",IF(0.01*T82*P83&gt;P82,"приемлемы","неприемлемы")))</f>
        <v/>
      </c>
      <c r="R82" s="102" t="str">
        <f t="shared" ref="R82" si="340">IF(O82="","",IF(OR(D82="мясо, рыба, субпродукты",D82="молочная сыворотка, творог, сыр, масло, сливки, кисломолочные продукты, мороженное"),ROUND(AVERAGE(O82:O83),1),ROUND(AVERAGE(O82:O83),2)))</f>
        <v/>
      </c>
      <c r="S82" s="102" t="str">
        <f t="shared" ref="S82" si="341">IF(OR(I82="",I83=""),"",IF(OR(V82="менее 1,00 мкг/кг",V82="менее 2,5 мкг/кг",V82="менее 0,16 мкг/кг",V82="более 32,00 мкг/кг",V82="более 160,0 мкг/кг",V82="более 8,00 мкг/кг"),"",ROUND(0.01*T82*VLOOKUP(D82,$Z$3:$AC$6,3,FALSE),2)))</f>
        <v/>
      </c>
      <c r="T82" s="158" t="str">
        <f t="shared" ref="T82" si="342">IF(OR(I82="",I83=""),"",IF(OR(V82="менее 1,00 мкг/кг",V82="менее 2,5 мкг/кг",V82="менее 0,16 мкг/кг",V82="более 32,00 мкг/кг",V82="более 160,0 мкг/кг",V82="более 8,00 мкг/кг"),"",IF(OR(D82="молоко, сухое молоко, детское питание",D82="молоко сгущенное"),TEXT(R82,"0,00"),TEXT(R83,"0,0"))))</f>
        <v/>
      </c>
      <c r="U82" s="155" t="str">
        <f t="shared" si="15"/>
        <v/>
      </c>
      <c r="V82" s="145" t="str">
        <f t="shared" ref="V82" si="343">IF(I82="","",IF(AND(D82="мясо, рыба, субпродукты",OR(R82&lt;2.5,I82&gt;=$I$22,I83&gt;=$I$22)),"менее 2,5 мкг/кг",IF(AND(D82="мясо, рыба, субпродукты",R82&gt;160,R82&lt;&gt;""),"более 160,0 мкг/кг",IF(AND(D82="молоко сгущенное",OR(R82&lt;1,I82&gt;=$I$22,I83&gt;=$I$22)),"менее 1,00 мкг/кг",IF(AND(D82="молоко сгущенное",R82&gt;32,R82&lt;&gt;""),"более 32,00 мкг/кг",IF(AND(D82="молоко, сухое молоко, детское питание",OR(R82&lt;0.16,I82&gt;=$I$22,I83&gt;=$I$22)),"менее 0,16 мкг/кг",IF(AND(D82="молоко, сухое молоко, детское питание",R82&gt;8,R82&lt;&gt;""),"более 8,00 мкг/кг",IF(AND(D82="молочная сыворотка, творог, сыр, масло, сливки, кисломолочные продукты, мороженное",OR(R82&lt;2.5,I82&gt;=$I$22,I83&gt;=$I$22)),"менее 2,5 мкг/кг",IF(AND(D82="молочная сыворотка, творог, сыр, масло, сливки, кисломолочные продукты, мороженное",R82&gt;160,R82&lt;&gt;""),"более 160,0 мкг/кг","соответствует")))))))))</f>
        <v/>
      </c>
    </row>
    <row r="83" spans="1:22" ht="15.75" customHeight="1" thickTop="1" thickBot="1">
      <c r="A83" s="157"/>
      <c r="B83" s="164"/>
      <c r="C83" s="164"/>
      <c r="D83" s="154"/>
      <c r="E83" s="154"/>
      <c r="F83" s="79"/>
      <c r="G83" s="111"/>
      <c r="H83" s="148"/>
      <c r="I83" s="86"/>
      <c r="J83" s="93" t="str">
        <f t="shared" si="21"/>
        <v/>
      </c>
      <c r="K83" s="94" t="str">
        <f t="shared" si="16"/>
        <v/>
      </c>
      <c r="L83" s="94"/>
      <c r="M83" s="41" t="str">
        <f t="shared" si="17"/>
        <v/>
      </c>
      <c r="N83" s="150" t="str">
        <f t="shared" ref="N83" si="344">IF(I83=M83,"0,0%",STDEV(I83:M83)/AVERAGE(I83:M83))</f>
        <v>0,0%</v>
      </c>
      <c r="O83" s="41" t="str">
        <f t="shared" ref="O83" si="345">IF(M83="","",10^((M83-INTERCEPT($M$11:$M$16,$J$11:$J$16))/SLOPE($M$11:$M$16,$J$11:$J$16))*H82)</f>
        <v/>
      </c>
      <c r="P83" s="11" t="e">
        <f>VLOOKUP(D82,$Z$3:$AC$6,2,FALSE)</f>
        <v>#N/A</v>
      </c>
      <c r="Q83" s="152"/>
      <c r="R83" s="105" t="str">
        <f t="shared" ref="R83" si="346">IF(O82="","",IF(OR(D82="мясо, рыба, субпродукты",D82="молочная сыворотка, творог, сыр, масло, сливки, кисломолочные продукты, мороженное"),ROUND(AVERAGE(O82:O83),1),ROUND(AVERAGE(O82:O83),1)))</f>
        <v/>
      </c>
      <c r="S83" s="103" t="str">
        <f t="shared" ref="S83" si="347">IF(OR(I82="",I83=""),"",IF(OR(V82="менее 1,00 мкг/кг",V82="менее 2,5 мкг/кг",V82="менее 0,16 мкг/кг",V82="более 32,00 мкг/кг",V82="более 160,0 мкг/кг",V82="более 8,00 мкг/кг"),"",ROUND(0.01*T82*VLOOKUP(D82,$Z$3:$AC$6,3,FALSE),1)))</f>
        <v/>
      </c>
      <c r="T83" s="159"/>
      <c r="U83" s="156"/>
      <c r="V83" s="146"/>
    </row>
    <row r="84" spans="1:22" ht="15.75" customHeight="1" thickTop="1" thickBot="1">
      <c r="A84" s="129">
        <v>28</v>
      </c>
      <c r="B84" s="164"/>
      <c r="C84" s="164"/>
      <c r="D84" s="154"/>
      <c r="E84" s="154"/>
      <c r="F84" s="77"/>
      <c r="G84" s="110"/>
      <c r="H84" s="147" t="str">
        <f t="shared" ref="H84" si="348">IF(D84="","",VLOOKUP(D84,$Z$3:$AC$6,4,FALSE))</f>
        <v/>
      </c>
      <c r="I84" s="86"/>
      <c r="J84" s="93" t="str">
        <f t="shared" si="21"/>
        <v/>
      </c>
      <c r="K84" s="94" t="str">
        <f t="shared" si="16"/>
        <v/>
      </c>
      <c r="L84" s="94"/>
      <c r="M84" s="41" t="str">
        <f t="shared" si="17"/>
        <v/>
      </c>
      <c r="N84" s="149" t="str">
        <f t="shared" ref="N84" si="349">IF(OR(I85="",I84=""),"",IF(M84="","",STDEV(J84:J85)/AVERAGE(J84:J85)))</f>
        <v/>
      </c>
      <c r="O84" s="41" t="str">
        <f t="shared" ref="O84" si="350">IF(M84="","",10^((M84-INTERCEPT($M$11:$M$16,$J$11:$J$16))/SLOPE($M$11:$M$16,$J$11:$J$16))*H84)</f>
        <v/>
      </c>
      <c r="P84" s="10" t="e">
        <f t="shared" ref="P84" si="351">ABS(O84-O85)</f>
        <v>#VALUE!</v>
      </c>
      <c r="Q84" s="151" t="str">
        <f t="shared" ref="Q84" si="352">IF(T84="","",IF(OR(V84="менее 1,00 мкг/кг",V84="менее 2,5 мкг/кг",V84="менее 0,16 мкг/кг",V84="более 32,00 мкг/кг",V84="более 160,0 мкг/кг",V84="более 8,00 мкг/кг"),"",IF(0.01*T84*P85&gt;P84,"приемлемы","неприемлемы")))</f>
        <v/>
      </c>
      <c r="R84" s="102" t="str">
        <f t="shared" ref="R84" si="353">IF(O84="","",IF(OR(D84="мясо, рыба, субпродукты",D84="молочная сыворотка, творог, сыр, масло, сливки, кисломолочные продукты, мороженное"),ROUND(AVERAGE(O84:O85),1),ROUND(AVERAGE(O84:O85),2)))</f>
        <v/>
      </c>
      <c r="S84" s="102" t="str">
        <f t="shared" ref="S84" si="354">IF(OR(I84="",I85=""),"",IF(OR(V84="менее 1,00 мкг/кг",V84="менее 2,5 мкг/кг",V84="менее 0,16 мкг/кг",V84="более 32,00 мкг/кг",V84="более 160,0 мкг/кг",V84="более 8,00 мкг/кг"),"",ROUND(0.01*T84*VLOOKUP(D84,$Z$3:$AC$6,3,FALSE),2)))</f>
        <v/>
      </c>
      <c r="T84" s="158" t="str">
        <f t="shared" ref="T84" si="355">IF(OR(I84="",I85=""),"",IF(OR(V84="менее 1,00 мкг/кг",V84="менее 2,5 мкг/кг",V84="менее 0,16 мкг/кг",V84="более 32,00 мкг/кг",V84="более 160,0 мкг/кг",V84="более 8,00 мкг/кг"),"",IF(OR(D84="молоко, сухое молоко, детское питание",D84="молоко сгущенное"),TEXT(R84,"0,00"),TEXT(R85,"0,0"))))</f>
        <v/>
      </c>
      <c r="U84" s="155" t="str">
        <f t="shared" si="15"/>
        <v/>
      </c>
      <c r="V84" s="145" t="str">
        <f t="shared" ref="V84" si="356">IF(I84="","",IF(AND(D84="мясо, рыба, субпродукты",OR(R84&lt;2.5,I84&gt;=$I$22,I85&gt;=$I$22)),"менее 2,5 мкг/кг",IF(AND(D84="мясо, рыба, субпродукты",R84&gt;160,R84&lt;&gt;""),"более 160,0 мкг/кг",IF(AND(D84="молоко сгущенное",OR(R84&lt;1,I84&gt;=$I$22,I85&gt;=$I$22)),"менее 1,00 мкг/кг",IF(AND(D84="молоко сгущенное",R84&gt;32,R84&lt;&gt;""),"более 32,00 мкг/кг",IF(AND(D84="молоко, сухое молоко, детское питание",OR(R84&lt;0.16,I84&gt;=$I$22,I85&gt;=$I$22)),"менее 0,16 мкг/кг",IF(AND(D84="молоко, сухое молоко, детское питание",R84&gt;8,R84&lt;&gt;""),"более 8,00 мкг/кг",IF(AND(D84="молочная сыворотка, творог, сыр, масло, сливки, кисломолочные продукты, мороженное",OR(R84&lt;2.5,I84&gt;=$I$22,I85&gt;=$I$22)),"менее 2,5 мкг/кг",IF(AND(D84="молочная сыворотка, творог, сыр, масло, сливки, кисломолочные продукты, мороженное",R84&gt;160,R84&lt;&gt;""),"более 160,0 мкг/кг","соответствует")))))))))</f>
        <v/>
      </c>
    </row>
    <row r="85" spans="1:22" ht="15.75" customHeight="1" thickTop="1" thickBot="1">
      <c r="A85" s="157"/>
      <c r="B85" s="164"/>
      <c r="C85" s="164"/>
      <c r="D85" s="154"/>
      <c r="E85" s="154"/>
      <c r="F85" s="79"/>
      <c r="G85" s="111"/>
      <c r="H85" s="148"/>
      <c r="I85" s="86"/>
      <c r="J85" s="93" t="str">
        <f t="shared" si="21"/>
        <v/>
      </c>
      <c r="K85" s="94" t="str">
        <f t="shared" si="16"/>
        <v/>
      </c>
      <c r="L85" s="94"/>
      <c r="M85" s="41" t="str">
        <f t="shared" si="17"/>
        <v/>
      </c>
      <c r="N85" s="150" t="str">
        <f t="shared" ref="N85" si="357">IF(I85=M85,"0,0%",STDEV(I85:M85)/AVERAGE(I85:M85))</f>
        <v>0,0%</v>
      </c>
      <c r="O85" s="41" t="str">
        <f t="shared" ref="O85" si="358">IF(M85="","",10^((M85-INTERCEPT($M$11:$M$16,$J$11:$J$16))/SLOPE($M$11:$M$16,$J$11:$J$16))*H84)</f>
        <v/>
      </c>
      <c r="P85" s="11" t="e">
        <f>VLOOKUP(D84,$Z$3:$AC$6,2,FALSE)</f>
        <v>#N/A</v>
      </c>
      <c r="Q85" s="152"/>
      <c r="R85" s="105" t="str">
        <f t="shared" ref="R85" si="359">IF(O84="","",IF(OR(D84="мясо, рыба, субпродукты",D84="молочная сыворотка, творог, сыр, масло, сливки, кисломолочные продукты, мороженное"),ROUND(AVERAGE(O84:O85),1),ROUND(AVERAGE(O84:O85),1)))</f>
        <v/>
      </c>
      <c r="S85" s="103" t="str">
        <f t="shared" ref="S85" si="360">IF(OR(I84="",I85=""),"",IF(OR(V84="менее 1,00 мкг/кг",V84="менее 2,5 мкг/кг",V84="менее 0,16 мкг/кг",V84="более 32,00 мкг/кг",V84="более 160,0 мкг/кг",V84="более 8,00 мкг/кг"),"",ROUND(0.01*T84*VLOOKUP(D84,$Z$3:$AC$6,3,FALSE),1)))</f>
        <v/>
      </c>
      <c r="T85" s="159"/>
      <c r="U85" s="156"/>
      <c r="V85" s="146"/>
    </row>
    <row r="86" spans="1:22" ht="15.75" customHeight="1" thickTop="1" thickBot="1">
      <c r="A86" s="129">
        <v>29</v>
      </c>
      <c r="B86" s="164"/>
      <c r="C86" s="164"/>
      <c r="D86" s="154"/>
      <c r="E86" s="154"/>
      <c r="F86" s="77"/>
      <c r="G86" s="110"/>
      <c r="H86" s="147" t="str">
        <f t="shared" ref="H86" si="361">IF(D86="","",VLOOKUP(D86,$Z$3:$AC$6,4,FALSE))</f>
        <v/>
      </c>
      <c r="I86" s="86"/>
      <c r="J86" s="93" t="str">
        <f t="shared" si="21"/>
        <v/>
      </c>
      <c r="K86" s="94" t="str">
        <f t="shared" si="16"/>
        <v/>
      </c>
      <c r="L86" s="94"/>
      <c r="M86" s="41" t="str">
        <f t="shared" si="17"/>
        <v/>
      </c>
      <c r="N86" s="149" t="str">
        <f t="shared" ref="N86" si="362">IF(OR(I87="",I86=""),"",IF(M86="","",STDEV(J86:J87)/AVERAGE(J86:J87)))</f>
        <v/>
      </c>
      <c r="O86" s="41" t="str">
        <f t="shared" ref="O86" si="363">IF(M86="","",10^((M86-INTERCEPT($M$11:$M$16,$J$11:$J$16))/SLOPE($M$11:$M$16,$J$11:$J$16))*H86)</f>
        <v/>
      </c>
      <c r="P86" s="10" t="e">
        <f t="shared" ref="P86" si="364">ABS(O86-O87)</f>
        <v>#VALUE!</v>
      </c>
      <c r="Q86" s="151" t="str">
        <f t="shared" ref="Q86" si="365">IF(T86="","",IF(OR(V86="менее 1,00 мкг/кг",V86="менее 2,5 мкг/кг",V86="менее 0,16 мкг/кг",V86="более 32,00 мкг/кг",V86="более 160,0 мкг/кг",V86="более 8,00 мкг/кг"),"",IF(0.01*T86*P87&gt;P86,"приемлемы","неприемлемы")))</f>
        <v/>
      </c>
      <c r="R86" s="102" t="str">
        <f t="shared" ref="R86" si="366">IF(O86="","",IF(OR(D86="мясо, рыба, субпродукты",D86="молочная сыворотка, творог, сыр, масло, сливки, кисломолочные продукты, мороженное"),ROUND(AVERAGE(O86:O87),1),ROUND(AVERAGE(O86:O87),2)))</f>
        <v/>
      </c>
      <c r="S86" s="102" t="str">
        <f t="shared" ref="S86" si="367">IF(OR(I86="",I87=""),"",IF(OR(V86="менее 1,00 мкг/кг",V86="менее 2,5 мкг/кг",V86="менее 0,16 мкг/кг",V86="более 32,00 мкг/кг",V86="более 160,0 мкг/кг",V86="более 8,00 мкг/кг"),"",ROUND(0.01*T86*VLOOKUP(D86,$Z$3:$AC$6,3,FALSE),2)))</f>
        <v/>
      </c>
      <c r="T86" s="158" t="str">
        <f t="shared" ref="T86" si="368">IF(OR(I86="",I87=""),"",IF(OR(V86="менее 1,00 мкг/кг",V86="менее 2,5 мкг/кг",V86="менее 0,16 мкг/кг",V86="более 32,00 мкг/кг",V86="более 160,0 мкг/кг",V86="более 8,00 мкг/кг"),"",IF(OR(D86="молоко, сухое молоко, детское питание",D86="молоко сгущенное"),TEXT(R86,"0,00"),TEXT(R87,"0,0"))))</f>
        <v/>
      </c>
      <c r="U86" s="155" t="str">
        <f t="shared" si="15"/>
        <v/>
      </c>
      <c r="V86" s="145" t="str">
        <f t="shared" ref="V86" si="369">IF(I86="","",IF(AND(D86="мясо, рыба, субпродукты",OR(R86&lt;2.5,I86&gt;=$I$22,I87&gt;=$I$22)),"менее 2,5 мкг/кг",IF(AND(D86="мясо, рыба, субпродукты",R86&gt;160,R86&lt;&gt;""),"более 160,0 мкг/кг",IF(AND(D86="молоко сгущенное",OR(R86&lt;1,I86&gt;=$I$22,I87&gt;=$I$22)),"менее 1,00 мкг/кг",IF(AND(D86="молоко сгущенное",R86&gt;32,R86&lt;&gt;""),"более 32,00 мкг/кг",IF(AND(D86="молоко, сухое молоко, детское питание",OR(R86&lt;0.16,I86&gt;=$I$22,I87&gt;=$I$22)),"менее 0,16 мкг/кг",IF(AND(D86="молоко, сухое молоко, детское питание",R86&gt;8,R86&lt;&gt;""),"более 8,00 мкг/кг",IF(AND(D86="молочная сыворотка, творог, сыр, масло, сливки, кисломолочные продукты, мороженное",OR(R86&lt;2.5,I86&gt;=$I$22,I87&gt;=$I$22)),"менее 2,5 мкг/кг",IF(AND(D86="молочная сыворотка, творог, сыр, масло, сливки, кисломолочные продукты, мороженное",R86&gt;160,R86&lt;&gt;""),"более 160,0 мкг/кг","соответствует")))))))))</f>
        <v/>
      </c>
    </row>
    <row r="87" spans="1:22" ht="15.75" customHeight="1" thickTop="1" thickBot="1">
      <c r="A87" s="157"/>
      <c r="B87" s="164"/>
      <c r="C87" s="164"/>
      <c r="D87" s="154"/>
      <c r="E87" s="154"/>
      <c r="F87" s="79"/>
      <c r="G87" s="111"/>
      <c r="H87" s="148"/>
      <c r="I87" s="86"/>
      <c r="J87" s="93" t="str">
        <f t="shared" si="21"/>
        <v/>
      </c>
      <c r="K87" s="94" t="str">
        <f t="shared" si="16"/>
        <v/>
      </c>
      <c r="L87" s="94"/>
      <c r="M87" s="41" t="str">
        <f t="shared" si="17"/>
        <v/>
      </c>
      <c r="N87" s="150" t="str">
        <f t="shared" ref="N87" si="370">IF(I87=M87,"0,0%",STDEV(I87:M87)/AVERAGE(I87:M87))</f>
        <v>0,0%</v>
      </c>
      <c r="O87" s="41" t="str">
        <f t="shared" ref="O87" si="371">IF(M87="","",10^((M87-INTERCEPT($M$11:$M$16,$J$11:$J$16))/SLOPE($M$11:$M$16,$J$11:$J$16))*H86)</f>
        <v/>
      </c>
      <c r="P87" s="11" t="e">
        <f>VLOOKUP(D86,$Z$3:$AC$6,2,FALSE)</f>
        <v>#N/A</v>
      </c>
      <c r="Q87" s="152"/>
      <c r="R87" s="105" t="str">
        <f t="shared" ref="R87" si="372">IF(O86="","",IF(OR(D86="мясо, рыба, субпродукты",D86="молочная сыворотка, творог, сыр, масло, сливки, кисломолочные продукты, мороженное"),ROUND(AVERAGE(O86:O87),1),ROUND(AVERAGE(O86:O87),1)))</f>
        <v/>
      </c>
      <c r="S87" s="103" t="str">
        <f t="shared" ref="S87" si="373">IF(OR(I86="",I87=""),"",IF(OR(V86="менее 1,00 мкг/кг",V86="менее 2,5 мкг/кг",V86="менее 0,16 мкг/кг",V86="более 32,00 мкг/кг",V86="более 160,0 мкг/кг",V86="более 8,00 мкг/кг"),"",ROUND(0.01*T86*VLOOKUP(D86,$Z$3:$AC$6,3,FALSE),1)))</f>
        <v/>
      </c>
      <c r="T87" s="159"/>
      <c r="U87" s="156"/>
      <c r="V87" s="146"/>
    </row>
    <row r="88" spans="1:22" ht="15.75" customHeight="1" thickTop="1" thickBot="1">
      <c r="A88" s="129">
        <v>30</v>
      </c>
      <c r="B88" s="164"/>
      <c r="C88" s="164"/>
      <c r="D88" s="160"/>
      <c r="E88" s="161"/>
      <c r="F88" s="77"/>
      <c r="G88" s="110"/>
      <c r="H88" s="147" t="str">
        <f t="shared" ref="H88" si="374">IF(D88="","",VLOOKUP(D88,$Z$3:$AC$6,4,FALSE))</f>
        <v/>
      </c>
      <c r="I88" s="86"/>
      <c r="J88" s="93" t="str">
        <f t="shared" si="21"/>
        <v/>
      </c>
      <c r="K88" s="94" t="str">
        <f t="shared" si="16"/>
        <v/>
      </c>
      <c r="L88" s="94"/>
      <c r="M88" s="41" t="str">
        <f t="shared" si="17"/>
        <v/>
      </c>
      <c r="N88" s="149" t="str">
        <f t="shared" ref="N88" si="375">IF(OR(I89="",I88=""),"",IF(M88="","",STDEV(J88:J89)/AVERAGE(J88:J89)))</f>
        <v/>
      </c>
      <c r="O88" s="41" t="str">
        <f t="shared" ref="O88" si="376">IF(M88="","",10^((M88-INTERCEPT($M$11:$M$16,$J$11:$J$16))/SLOPE($M$11:$M$16,$J$11:$J$16))*H88)</f>
        <v/>
      </c>
      <c r="P88" s="10" t="e">
        <f t="shared" ref="P88" si="377">ABS(O88-O89)</f>
        <v>#VALUE!</v>
      </c>
      <c r="Q88" s="151" t="str">
        <f t="shared" ref="Q88" si="378">IF(T88="","",IF(OR(V88="менее 1,00 мкг/кг",V88="менее 2,5 мкг/кг",V88="менее 0,16 мкг/кг",V88="более 32,00 мкг/кг",V88="более 160,0 мкг/кг",V88="более 8,00 мкг/кг"),"",IF(0.01*T88*P89&gt;P88,"приемлемы","неприемлемы")))</f>
        <v/>
      </c>
      <c r="R88" s="102" t="str">
        <f t="shared" ref="R88" si="379">IF(O88="","",IF(OR(D88="мясо, рыба, субпродукты",D88="молочная сыворотка, творог, сыр, масло, сливки, кисломолочные продукты, мороженное"),ROUND(AVERAGE(O88:O89),1),ROUND(AVERAGE(O88:O89),2)))</f>
        <v/>
      </c>
      <c r="S88" s="102" t="str">
        <f t="shared" ref="S88" si="380">IF(OR(I88="",I89=""),"",IF(OR(V88="менее 1,00 мкг/кг",V88="менее 2,5 мкг/кг",V88="менее 0,16 мкг/кг",V88="более 32,00 мкг/кг",V88="более 160,0 мкг/кг",V88="более 8,00 мкг/кг"),"",ROUND(0.01*T88*VLOOKUP(D88,$Z$3:$AC$6,3,FALSE),2)))</f>
        <v/>
      </c>
      <c r="T88" s="158" t="str">
        <f t="shared" ref="T88" si="381">IF(OR(I88="",I89=""),"",IF(OR(V88="менее 1,00 мкг/кг",V88="менее 2,5 мкг/кг",V88="менее 0,16 мкг/кг",V88="более 32,00 мкг/кг",V88="более 160,0 мкг/кг",V88="более 8,00 мкг/кг"),"",IF(OR(D88="молоко, сухое молоко, детское питание",D88="молоко сгущенное"),TEXT(R88,"0,00"),TEXT(R89,"0,0"))))</f>
        <v/>
      </c>
      <c r="U88" s="155" t="str">
        <f t="shared" si="15"/>
        <v/>
      </c>
      <c r="V88" s="145" t="str">
        <f t="shared" ref="V88" si="382">IF(I88="","",IF(AND(D88="мясо, рыба, субпродукты",OR(R88&lt;2.5,I88&gt;=$I$22,I89&gt;=$I$22)),"менее 2,5 мкг/кг",IF(AND(D88="мясо, рыба, субпродукты",R88&gt;160,R88&lt;&gt;""),"более 160,0 мкг/кг",IF(AND(D88="молоко сгущенное",OR(R88&lt;1,I88&gt;=$I$22,I89&gt;=$I$22)),"менее 1,00 мкг/кг",IF(AND(D88="молоко сгущенное",R88&gt;32,R88&lt;&gt;""),"более 32,00 мкг/кг",IF(AND(D88="молоко, сухое молоко, детское питание",OR(R88&lt;0.16,I88&gt;=$I$22,I89&gt;=$I$22)),"менее 0,16 мкг/кг",IF(AND(D88="молоко, сухое молоко, детское питание",R88&gt;8,R88&lt;&gt;""),"более 8,00 мкг/кг",IF(AND(D88="молочная сыворотка, творог, сыр, масло, сливки, кисломолочные продукты, мороженное",OR(R88&lt;2.5,I88&gt;=$I$22,I89&gt;=$I$22)),"менее 2,5 мкг/кг",IF(AND(D88="молочная сыворотка, творог, сыр, масло, сливки, кисломолочные продукты, мороженное",R88&gt;160,R88&lt;&gt;""),"более 160,0 мкг/кг","соответствует")))))))))</f>
        <v/>
      </c>
    </row>
    <row r="89" spans="1:22" ht="15.75" customHeight="1" thickTop="1" thickBot="1">
      <c r="A89" s="157"/>
      <c r="B89" s="164"/>
      <c r="C89" s="164"/>
      <c r="D89" s="162"/>
      <c r="E89" s="163"/>
      <c r="F89" s="79"/>
      <c r="G89" s="111"/>
      <c r="H89" s="148"/>
      <c r="I89" s="86"/>
      <c r="J89" s="93" t="str">
        <f t="shared" si="21"/>
        <v/>
      </c>
      <c r="K89" s="94" t="str">
        <f t="shared" si="16"/>
        <v/>
      </c>
      <c r="L89" s="94"/>
      <c r="M89" s="41" t="str">
        <f t="shared" si="17"/>
        <v/>
      </c>
      <c r="N89" s="150" t="str">
        <f t="shared" ref="N89" si="383">IF(I89=M89,"0,0%",STDEV(I89:M89)/AVERAGE(I89:M89))</f>
        <v>0,0%</v>
      </c>
      <c r="O89" s="41" t="str">
        <f t="shared" ref="O89" si="384">IF(M89="","",10^((M89-INTERCEPT($M$11:$M$16,$J$11:$J$16))/SLOPE($M$11:$M$16,$J$11:$J$16))*H88)</f>
        <v/>
      </c>
      <c r="P89" s="11" t="e">
        <f>VLOOKUP(D88,$Z$3:$AC$6,2,FALSE)</f>
        <v>#N/A</v>
      </c>
      <c r="Q89" s="152"/>
      <c r="R89" s="105" t="str">
        <f t="shared" ref="R89" si="385">IF(O88="","",IF(OR(D88="мясо, рыба, субпродукты",D88="молочная сыворотка, творог, сыр, масло, сливки, кисломолочные продукты, мороженное"),ROUND(AVERAGE(O88:O89),1),ROUND(AVERAGE(O88:O89),1)))</f>
        <v/>
      </c>
      <c r="S89" s="103" t="str">
        <f t="shared" ref="S89" si="386">IF(OR(I88="",I89=""),"",IF(OR(V88="менее 1,00 мкг/кг",V88="менее 2,5 мкг/кг",V88="менее 0,16 мкг/кг",V88="более 32,00 мкг/кг",V88="более 160,0 мкг/кг",V88="более 8,00 мкг/кг"),"",ROUND(0.01*T88*VLOOKUP(D88,$Z$3:$AC$6,3,FALSE),1)))</f>
        <v/>
      </c>
      <c r="T89" s="159"/>
      <c r="U89" s="156"/>
      <c r="V89" s="146"/>
    </row>
    <row r="90" spans="1:22" ht="15.75" customHeight="1" thickTop="1" thickBot="1">
      <c r="A90" s="129">
        <v>31</v>
      </c>
      <c r="B90" s="164"/>
      <c r="C90" s="164"/>
      <c r="D90" s="154"/>
      <c r="E90" s="154"/>
      <c r="F90" s="77"/>
      <c r="G90" s="110"/>
      <c r="H90" s="147" t="str">
        <f t="shared" ref="H90" si="387">IF(D90="","",VLOOKUP(D90,$Z$3:$AC$6,4,FALSE))</f>
        <v/>
      </c>
      <c r="I90" s="86"/>
      <c r="J90" s="93" t="str">
        <f t="shared" si="21"/>
        <v/>
      </c>
      <c r="K90" s="94" t="str">
        <f t="shared" si="16"/>
        <v/>
      </c>
      <c r="L90" s="94"/>
      <c r="M90" s="41" t="str">
        <f t="shared" si="17"/>
        <v/>
      </c>
      <c r="N90" s="149" t="str">
        <f t="shared" ref="N90" si="388">IF(OR(I91="",I90=""),"",IF(M90="","",STDEV(J90:J91)/AVERAGE(J90:J91)))</f>
        <v/>
      </c>
      <c r="O90" s="41" t="str">
        <f t="shared" ref="O90" si="389">IF(M90="","",10^((M90-INTERCEPT($M$11:$M$16,$J$11:$J$16))/SLOPE($M$11:$M$16,$J$11:$J$16))*H90)</f>
        <v/>
      </c>
      <c r="P90" s="10" t="e">
        <f t="shared" ref="P90" si="390">ABS(O90-O91)</f>
        <v>#VALUE!</v>
      </c>
      <c r="Q90" s="151" t="str">
        <f t="shared" ref="Q90" si="391">IF(T90="","",IF(OR(V90="менее 1,00 мкг/кг",V90="менее 2,5 мкг/кг",V90="менее 0,16 мкг/кг",V90="более 32,00 мкг/кг",V90="более 160,0 мкг/кг",V90="более 8,00 мкг/кг"),"",IF(0.01*T90*P91&gt;P90,"приемлемы","неприемлемы")))</f>
        <v/>
      </c>
      <c r="R90" s="102" t="str">
        <f t="shared" ref="R90" si="392">IF(O90="","",IF(OR(D90="мясо, рыба, субпродукты",D90="молочная сыворотка, творог, сыр, масло, сливки, кисломолочные продукты, мороженное"),ROUND(AVERAGE(O90:O91),1),ROUND(AVERAGE(O90:O91),2)))</f>
        <v/>
      </c>
      <c r="S90" s="102" t="str">
        <f t="shared" ref="S90" si="393">IF(OR(I90="",I91=""),"",IF(OR(V90="менее 1,00 мкг/кг",V90="менее 2,5 мкг/кг",V90="менее 0,16 мкг/кг",V90="более 32,00 мкг/кг",V90="более 160,0 мкг/кг",V90="более 8,00 мкг/кг"),"",ROUND(0.01*T90*VLOOKUP(D90,$Z$3:$AC$6,3,FALSE),2)))</f>
        <v/>
      </c>
      <c r="T90" s="158" t="str">
        <f t="shared" ref="T90" si="394">IF(OR(I90="",I91=""),"",IF(OR(V90="менее 1,00 мкг/кг",V90="менее 2,5 мкг/кг",V90="менее 0,16 мкг/кг",V90="более 32,00 мкг/кг",V90="более 160,0 мкг/кг",V90="более 8,00 мкг/кг"),"",IF(OR(D90="молоко, сухое молоко, детское питание",D90="молоко сгущенное"),TEXT(R90,"0,00"),TEXT(R91,"0,0"))))</f>
        <v/>
      </c>
      <c r="U90" s="155" t="str">
        <f t="shared" si="15"/>
        <v/>
      </c>
      <c r="V90" s="145" t="str">
        <f t="shared" ref="V90" si="395">IF(I90="","",IF(AND(D90="мясо, рыба, субпродукты",OR(R90&lt;2.5,I90&gt;=$I$22,I91&gt;=$I$22)),"менее 2,5 мкг/кг",IF(AND(D90="мясо, рыба, субпродукты",R90&gt;160,R90&lt;&gt;""),"более 160,0 мкг/кг",IF(AND(D90="молоко сгущенное",OR(R90&lt;1,I90&gt;=$I$22,I91&gt;=$I$22)),"менее 1,00 мкг/кг",IF(AND(D90="молоко сгущенное",R90&gt;32,R90&lt;&gt;""),"более 32,00 мкг/кг",IF(AND(D90="молоко, сухое молоко, детское питание",OR(R90&lt;0.16,I90&gt;=$I$22,I91&gt;=$I$22)),"менее 0,16 мкг/кг",IF(AND(D90="молоко, сухое молоко, детское питание",R90&gt;8,R90&lt;&gt;""),"более 8,00 мкг/кг",IF(AND(D90="молочная сыворотка, творог, сыр, масло, сливки, кисломолочные продукты, мороженное",OR(R90&lt;2.5,I90&gt;=$I$22,I91&gt;=$I$22)),"менее 2,5 мкг/кг",IF(AND(D90="молочная сыворотка, творог, сыр, масло, сливки, кисломолочные продукты, мороженное",R90&gt;160,R90&lt;&gt;""),"более 160,0 мкг/кг","соответствует")))))))))</f>
        <v/>
      </c>
    </row>
    <row r="91" spans="1:22" ht="15.75" customHeight="1" thickTop="1" thickBot="1">
      <c r="A91" s="157"/>
      <c r="B91" s="164"/>
      <c r="C91" s="164"/>
      <c r="D91" s="154"/>
      <c r="E91" s="154"/>
      <c r="F91" s="79"/>
      <c r="G91" s="111"/>
      <c r="H91" s="148"/>
      <c r="I91" s="86"/>
      <c r="J91" s="93" t="str">
        <f t="shared" si="21"/>
        <v/>
      </c>
      <c r="K91" s="94" t="str">
        <f t="shared" si="16"/>
        <v/>
      </c>
      <c r="L91" s="94"/>
      <c r="M91" s="41" t="str">
        <f t="shared" si="17"/>
        <v/>
      </c>
      <c r="N91" s="150" t="str">
        <f t="shared" ref="N91" si="396">IF(I91=M91,"0,0%",STDEV(I91:M91)/AVERAGE(I91:M91))</f>
        <v>0,0%</v>
      </c>
      <c r="O91" s="41" t="str">
        <f t="shared" ref="O91" si="397">IF(M91="","",10^((M91-INTERCEPT($M$11:$M$16,$J$11:$J$16))/SLOPE($M$11:$M$16,$J$11:$J$16))*H90)</f>
        <v/>
      </c>
      <c r="P91" s="11" t="e">
        <f>VLOOKUP(D90,$Z$3:$AC$6,2,FALSE)</f>
        <v>#N/A</v>
      </c>
      <c r="Q91" s="152"/>
      <c r="R91" s="105" t="str">
        <f t="shared" ref="R91" si="398">IF(O90="","",IF(OR(D90="мясо, рыба, субпродукты",D90="молочная сыворотка, творог, сыр, масло, сливки, кисломолочные продукты, мороженное"),ROUND(AVERAGE(O90:O91),1),ROUND(AVERAGE(O90:O91),1)))</f>
        <v/>
      </c>
      <c r="S91" s="103" t="str">
        <f t="shared" ref="S91" si="399">IF(OR(I90="",I91=""),"",IF(OR(V90="менее 1,00 мкг/кг",V90="менее 2,5 мкг/кг",V90="менее 0,16 мкг/кг",V90="более 32,00 мкг/кг",V90="более 160,0 мкг/кг",V90="более 8,00 мкг/кг"),"",ROUND(0.01*T90*VLOOKUP(D90,$Z$3:$AC$6,3,FALSE),1)))</f>
        <v/>
      </c>
      <c r="T91" s="159"/>
      <c r="U91" s="156"/>
      <c r="V91" s="146"/>
    </row>
    <row r="92" spans="1:22" ht="15.75" customHeight="1" thickTop="1" thickBot="1">
      <c r="A92" s="129">
        <v>32</v>
      </c>
      <c r="B92" s="164"/>
      <c r="C92" s="164"/>
      <c r="D92" s="154"/>
      <c r="E92" s="154"/>
      <c r="F92" s="77"/>
      <c r="G92" s="110"/>
      <c r="H92" s="147" t="str">
        <f t="shared" ref="H92" si="400">IF(D92="","",VLOOKUP(D92,$Z$3:$AC$6,4,FALSE))</f>
        <v/>
      </c>
      <c r="I92" s="86"/>
      <c r="J92" s="93" t="str">
        <f t="shared" si="21"/>
        <v/>
      </c>
      <c r="K92" s="94" t="str">
        <f t="shared" si="16"/>
        <v/>
      </c>
      <c r="L92" s="94"/>
      <c r="M92" s="41" t="str">
        <f t="shared" si="17"/>
        <v/>
      </c>
      <c r="N92" s="149" t="str">
        <f t="shared" ref="N92" si="401">IF(OR(I93="",I92=""),"",IF(M92="","",STDEV(J92:J93)/AVERAGE(J92:J93)))</f>
        <v/>
      </c>
      <c r="O92" s="41" t="str">
        <f t="shared" ref="O92" si="402">IF(M92="","",10^((M92-INTERCEPT($M$11:$M$16,$J$11:$J$16))/SLOPE($M$11:$M$16,$J$11:$J$16))*H92)</f>
        <v/>
      </c>
      <c r="P92" s="10" t="e">
        <f t="shared" ref="P92" si="403">ABS(O92-O93)</f>
        <v>#VALUE!</v>
      </c>
      <c r="Q92" s="151" t="str">
        <f t="shared" ref="Q92" si="404">IF(T92="","",IF(OR(V92="менее 1,00 мкг/кг",V92="менее 2,5 мкг/кг",V92="менее 0,16 мкг/кг",V92="более 32,00 мкг/кг",V92="более 160,0 мкг/кг",V92="более 8,00 мкг/кг"),"",IF(0.01*T92*P93&gt;P92,"приемлемы","неприемлемы")))</f>
        <v/>
      </c>
      <c r="R92" s="102" t="str">
        <f t="shared" ref="R92" si="405">IF(O92="","",IF(OR(D92="мясо, рыба, субпродукты",D92="молочная сыворотка, творог, сыр, масло, сливки, кисломолочные продукты, мороженное"),ROUND(AVERAGE(O92:O93),1),ROUND(AVERAGE(O92:O93),2)))</f>
        <v/>
      </c>
      <c r="S92" s="102" t="str">
        <f t="shared" ref="S92" si="406">IF(OR(I92="",I93=""),"",IF(OR(V92="менее 1,00 мкг/кг",V92="менее 2,5 мкг/кг",V92="менее 0,16 мкг/кг",V92="более 32,00 мкг/кг",V92="более 160,0 мкг/кг",V92="более 8,00 мкг/кг"),"",ROUND(0.01*T92*VLOOKUP(D92,$Z$3:$AC$6,3,FALSE),2)))</f>
        <v/>
      </c>
      <c r="T92" s="158" t="str">
        <f t="shared" ref="T92" si="407">IF(OR(I92="",I93=""),"",IF(OR(V92="менее 1,00 мкг/кг",V92="менее 2,5 мкг/кг",V92="менее 0,16 мкг/кг",V92="более 32,00 мкг/кг",V92="более 160,0 мкг/кг",V92="более 8,00 мкг/кг"),"",IF(OR(D92="молоко, сухое молоко, детское питание",D92="молоко сгущенное"),TEXT(R92,"0,00"),TEXT(R93,"0,0"))))</f>
        <v/>
      </c>
      <c r="U92" s="155" t="str">
        <f t="shared" si="15"/>
        <v/>
      </c>
      <c r="V92" s="145" t="str">
        <f t="shared" ref="V92" si="408">IF(I92="","",IF(AND(D92="мясо, рыба, субпродукты",OR(R92&lt;2.5,I92&gt;=$I$22,I93&gt;=$I$22)),"менее 2,5 мкг/кг",IF(AND(D92="мясо, рыба, субпродукты",R92&gt;160,R92&lt;&gt;""),"более 160,0 мкг/кг",IF(AND(D92="молоко сгущенное",OR(R92&lt;1,I92&gt;=$I$22,I93&gt;=$I$22)),"менее 1,00 мкг/кг",IF(AND(D92="молоко сгущенное",R92&gt;32,R92&lt;&gt;""),"более 32,00 мкг/кг",IF(AND(D92="молоко, сухое молоко, детское питание",OR(R92&lt;0.16,I92&gt;=$I$22,I93&gt;=$I$22)),"менее 0,16 мкг/кг",IF(AND(D92="молоко, сухое молоко, детское питание",R92&gt;8,R92&lt;&gt;""),"более 8,00 мкг/кг",IF(AND(D92="молочная сыворотка, творог, сыр, масло, сливки, кисломолочные продукты, мороженное",OR(R92&lt;2.5,I92&gt;=$I$22,I93&gt;=$I$22)),"менее 2,5 мкг/кг",IF(AND(D92="молочная сыворотка, творог, сыр, масло, сливки, кисломолочные продукты, мороженное",R92&gt;160,R92&lt;&gt;""),"более 160,0 мкг/кг","соответствует")))))))))</f>
        <v/>
      </c>
    </row>
    <row r="93" spans="1:22" ht="15.75" customHeight="1" thickTop="1" thickBot="1">
      <c r="A93" s="157"/>
      <c r="B93" s="164"/>
      <c r="C93" s="164"/>
      <c r="D93" s="154"/>
      <c r="E93" s="154"/>
      <c r="F93" s="79"/>
      <c r="G93" s="111"/>
      <c r="H93" s="148"/>
      <c r="I93" s="86"/>
      <c r="J93" s="93" t="str">
        <f t="shared" si="21"/>
        <v/>
      </c>
      <c r="K93" s="94" t="str">
        <f t="shared" si="16"/>
        <v/>
      </c>
      <c r="L93" s="94"/>
      <c r="M93" s="41" t="str">
        <f t="shared" si="17"/>
        <v/>
      </c>
      <c r="N93" s="150" t="str">
        <f t="shared" ref="N93" si="409">IF(I93=M93,"0,0%",STDEV(I93:M93)/AVERAGE(I93:M93))</f>
        <v>0,0%</v>
      </c>
      <c r="O93" s="41" t="str">
        <f t="shared" ref="O93" si="410">IF(M93="","",10^((M93-INTERCEPT($M$11:$M$16,$J$11:$J$16))/SLOPE($M$11:$M$16,$J$11:$J$16))*H92)</f>
        <v/>
      </c>
      <c r="P93" s="11" t="e">
        <f>VLOOKUP(D92,$Z$3:$AC$6,2,FALSE)</f>
        <v>#N/A</v>
      </c>
      <c r="Q93" s="152"/>
      <c r="R93" s="105" t="str">
        <f t="shared" ref="R93" si="411">IF(O92="","",IF(OR(D92="мясо, рыба, субпродукты",D92="молочная сыворотка, творог, сыр, масло, сливки, кисломолочные продукты, мороженное"),ROUND(AVERAGE(O92:O93),1),ROUND(AVERAGE(O92:O93),1)))</f>
        <v/>
      </c>
      <c r="S93" s="103" t="str">
        <f t="shared" ref="S93" si="412">IF(OR(I92="",I93=""),"",IF(OR(V92="менее 1,00 мкг/кг",V92="менее 2,5 мкг/кг",V92="менее 0,16 мкг/кг",V92="более 32,00 мкг/кг",V92="более 160,0 мкг/кг",V92="более 8,00 мкг/кг"),"",ROUND(0.01*T92*VLOOKUP(D92,$Z$3:$AC$6,3,FALSE),1)))</f>
        <v/>
      </c>
      <c r="T93" s="159"/>
      <c r="U93" s="156"/>
      <c r="V93" s="146"/>
    </row>
    <row r="94" spans="1:22" ht="15.75" customHeight="1" thickTop="1" thickBot="1">
      <c r="A94" s="129">
        <v>33</v>
      </c>
      <c r="B94" s="164"/>
      <c r="C94" s="164"/>
      <c r="D94" s="154"/>
      <c r="E94" s="154"/>
      <c r="F94" s="77"/>
      <c r="G94" s="110"/>
      <c r="H94" s="147" t="str">
        <f t="shared" ref="H94" si="413">IF(D94="","",VLOOKUP(D94,$Z$3:$AC$6,4,FALSE))</f>
        <v/>
      </c>
      <c r="I94" s="86"/>
      <c r="J94" s="93" t="str">
        <f t="shared" si="21"/>
        <v/>
      </c>
      <c r="K94" s="94" t="str">
        <f t="shared" si="16"/>
        <v/>
      </c>
      <c r="L94" s="94"/>
      <c r="M94" s="41" t="str">
        <f t="shared" si="17"/>
        <v/>
      </c>
      <c r="N94" s="149" t="str">
        <f t="shared" ref="N94" si="414">IF(OR(I95="",I94=""),"",IF(M94="","",STDEV(J94:J95)/AVERAGE(J94:J95)))</f>
        <v/>
      </c>
      <c r="O94" s="41" t="str">
        <f t="shared" ref="O94" si="415">IF(M94="","",10^((M94-INTERCEPT($M$11:$M$16,$J$11:$J$16))/SLOPE($M$11:$M$16,$J$11:$J$16))*H94)</f>
        <v/>
      </c>
      <c r="P94" s="10" t="e">
        <f t="shared" ref="P94" si="416">ABS(O94-O95)</f>
        <v>#VALUE!</v>
      </c>
      <c r="Q94" s="151" t="str">
        <f t="shared" ref="Q94" si="417">IF(T94="","",IF(OR(V94="менее 1,00 мкг/кг",V94="менее 2,5 мкг/кг",V94="менее 0,16 мкг/кг",V94="более 32,00 мкг/кг",V94="более 160,0 мкг/кг",V94="более 8,00 мкг/кг"),"",IF(0.01*T94*P95&gt;P94,"приемлемы","неприемлемы")))</f>
        <v/>
      </c>
      <c r="R94" s="102" t="str">
        <f t="shared" ref="R94" si="418">IF(O94="","",IF(OR(D94="мясо, рыба, субпродукты",D94="молочная сыворотка, творог, сыр, масло, сливки, кисломолочные продукты, мороженное"),ROUND(AVERAGE(O94:O95),1),ROUND(AVERAGE(O94:O95),2)))</f>
        <v/>
      </c>
      <c r="S94" s="102" t="str">
        <f t="shared" ref="S94" si="419">IF(OR(I94="",I95=""),"",IF(OR(V94="менее 1,00 мкг/кг",V94="менее 2,5 мкг/кг",V94="менее 0,16 мкг/кг",V94="более 32,00 мкг/кг",V94="более 160,0 мкг/кг",V94="более 8,00 мкг/кг"),"",ROUND(0.01*T94*VLOOKUP(D94,$Z$3:$AC$6,3,FALSE),2)))</f>
        <v/>
      </c>
      <c r="T94" s="158" t="str">
        <f t="shared" ref="T94" si="420">IF(OR(I94="",I95=""),"",IF(OR(V94="менее 1,00 мкг/кг",V94="менее 2,5 мкг/кг",V94="менее 0,16 мкг/кг",V94="более 32,00 мкг/кг",V94="более 160,0 мкг/кг",V94="более 8,00 мкг/кг"),"",IF(OR(D94="молоко, сухое молоко, детское питание",D94="молоко сгущенное"),TEXT(R94,"0,00"),TEXT(R95,"0,0"))))</f>
        <v/>
      </c>
      <c r="U94" s="155" t="str">
        <f t="shared" ref="U94:U136" si="421">IF(S94="","",IF(OR(D94="молоко, сухое молоко, детское питание",D94="молоко сгущенное"),TEXT(S94,"±0,00"),TEXT(S95,"±0,0")))</f>
        <v/>
      </c>
      <c r="V94" s="145" t="str">
        <f t="shared" ref="V94" si="422">IF(I94="","",IF(AND(D94="мясо, рыба, субпродукты",OR(R94&lt;2.5,I94&gt;=$I$22,I95&gt;=$I$22)),"менее 2,5 мкг/кг",IF(AND(D94="мясо, рыба, субпродукты",R94&gt;160,R94&lt;&gt;""),"более 160,0 мкг/кг",IF(AND(D94="молоко сгущенное",OR(R94&lt;1,I94&gt;=$I$22,I95&gt;=$I$22)),"менее 1,00 мкг/кг",IF(AND(D94="молоко сгущенное",R94&gt;32,R94&lt;&gt;""),"более 32,00 мкг/кг",IF(AND(D94="молоко, сухое молоко, детское питание",OR(R94&lt;0.16,I94&gt;=$I$22,I95&gt;=$I$22)),"менее 0,16 мкг/кг",IF(AND(D94="молоко, сухое молоко, детское питание",R94&gt;8,R94&lt;&gt;""),"более 8,00 мкг/кг",IF(AND(D94="молочная сыворотка, творог, сыр, масло, сливки, кисломолочные продукты, мороженное",OR(R94&lt;2.5,I94&gt;=$I$22,I95&gt;=$I$22)),"менее 2,5 мкг/кг",IF(AND(D94="молочная сыворотка, творог, сыр, масло, сливки, кисломолочные продукты, мороженное",R94&gt;160,R94&lt;&gt;""),"более 160,0 мкг/кг","соответствует")))))))))</f>
        <v/>
      </c>
    </row>
    <row r="95" spans="1:22" ht="15.75" customHeight="1" thickTop="1" thickBot="1">
      <c r="A95" s="157"/>
      <c r="B95" s="164"/>
      <c r="C95" s="164"/>
      <c r="D95" s="154"/>
      <c r="E95" s="154"/>
      <c r="F95" s="79"/>
      <c r="G95" s="111"/>
      <c r="H95" s="148"/>
      <c r="I95" s="86"/>
      <c r="J95" s="93" t="str">
        <f t="shared" si="21"/>
        <v/>
      </c>
      <c r="K95" s="94" t="str">
        <f t="shared" ref="K95:K137" si="423">IF(OR(I95="",I95&gt;=$I$22),"",J95/($I$22-$F$17))</f>
        <v/>
      </c>
      <c r="L95" s="94"/>
      <c r="M95" s="41" t="str">
        <f t="shared" ref="M95:M137" si="424">IF(I95="","",IF(OR(J95="B'&gt;B0",I95=$I$22),"",LOG((J95)/($F$10-I95))))</f>
        <v/>
      </c>
      <c r="N95" s="150" t="str">
        <f t="shared" ref="N95" si="425">IF(I95=M95,"0,0%",STDEV(I95:M95)/AVERAGE(I95:M95))</f>
        <v>0,0%</v>
      </c>
      <c r="O95" s="41" t="str">
        <f t="shared" ref="O95" si="426">IF(M95="","",10^((M95-INTERCEPT($M$11:$M$16,$J$11:$J$16))/SLOPE($M$11:$M$16,$J$11:$J$16))*H94)</f>
        <v/>
      </c>
      <c r="P95" s="11" t="e">
        <f>VLOOKUP(D94,$Z$3:$AC$6,2,FALSE)</f>
        <v>#N/A</v>
      </c>
      <c r="Q95" s="152"/>
      <c r="R95" s="105" t="str">
        <f t="shared" ref="R95" si="427">IF(O94="","",IF(OR(D94="мясо, рыба, субпродукты",D94="молочная сыворотка, творог, сыр, масло, сливки, кисломолочные продукты, мороженное"),ROUND(AVERAGE(O94:O95),1),ROUND(AVERAGE(O94:O95),1)))</f>
        <v/>
      </c>
      <c r="S95" s="103" t="str">
        <f t="shared" ref="S95" si="428">IF(OR(I94="",I95=""),"",IF(OR(V94="менее 1,00 мкг/кг",V94="менее 2,5 мкг/кг",V94="менее 0,16 мкг/кг",V94="более 32,00 мкг/кг",V94="более 160,0 мкг/кг",V94="более 8,00 мкг/кг"),"",ROUND(0.01*T94*VLOOKUP(D94,$Z$3:$AC$6,3,FALSE),1)))</f>
        <v/>
      </c>
      <c r="T95" s="159"/>
      <c r="U95" s="156"/>
      <c r="V95" s="146"/>
    </row>
    <row r="96" spans="1:22" ht="15.75" customHeight="1" thickTop="1" thickBot="1">
      <c r="A96" s="129">
        <v>34</v>
      </c>
      <c r="B96" s="164"/>
      <c r="C96" s="164"/>
      <c r="D96" s="154"/>
      <c r="E96" s="154"/>
      <c r="F96" s="77"/>
      <c r="G96" s="110"/>
      <c r="H96" s="147" t="str">
        <f t="shared" ref="H96" si="429">IF(D96="","",VLOOKUP(D96,$Z$3:$AC$6,4,FALSE))</f>
        <v/>
      </c>
      <c r="I96" s="86"/>
      <c r="J96" s="93" t="str">
        <f t="shared" ref="J96:J137" si="430">IF(I96="","",IF(I96&gt;AVERAGE($D$10:$E$10),"B'&gt;B0",I96-$F$17))</f>
        <v/>
      </c>
      <c r="K96" s="94" t="str">
        <f t="shared" si="423"/>
        <v/>
      </c>
      <c r="L96" s="94"/>
      <c r="M96" s="41" t="str">
        <f t="shared" si="424"/>
        <v/>
      </c>
      <c r="N96" s="149" t="str">
        <f t="shared" ref="N96" si="431">IF(OR(I97="",I96=""),"",IF(M96="","",STDEV(J96:J97)/AVERAGE(J96:J97)))</f>
        <v/>
      </c>
      <c r="O96" s="41" t="str">
        <f t="shared" ref="O96" si="432">IF(M96="","",10^((M96-INTERCEPT($M$11:$M$16,$J$11:$J$16))/SLOPE($M$11:$M$16,$J$11:$J$16))*H96)</f>
        <v/>
      </c>
      <c r="P96" s="10" t="e">
        <f t="shared" ref="P96" si="433">ABS(O96-O97)</f>
        <v>#VALUE!</v>
      </c>
      <c r="Q96" s="151" t="str">
        <f t="shared" ref="Q96" si="434">IF(T96="","",IF(OR(V96="менее 1,00 мкг/кг",V96="менее 2,5 мкг/кг",V96="менее 0,16 мкг/кг",V96="более 32,00 мкг/кг",V96="более 160,0 мкг/кг",V96="более 8,00 мкг/кг"),"",IF(0.01*T96*P97&gt;P96,"приемлемы","неприемлемы")))</f>
        <v/>
      </c>
      <c r="R96" s="102" t="str">
        <f t="shared" ref="R96" si="435">IF(O96="","",IF(OR(D96="мясо, рыба, субпродукты",D96="молочная сыворотка, творог, сыр, масло, сливки, кисломолочные продукты, мороженное"),ROUND(AVERAGE(O96:O97),1),ROUND(AVERAGE(O96:O97),2)))</f>
        <v/>
      </c>
      <c r="S96" s="102" t="str">
        <f t="shared" ref="S96" si="436">IF(OR(I96="",I97=""),"",IF(OR(V96="менее 1,00 мкг/кг",V96="менее 2,5 мкг/кг",V96="менее 0,16 мкг/кг",V96="более 32,00 мкг/кг",V96="более 160,0 мкг/кг",V96="более 8,00 мкг/кг"),"",ROUND(0.01*T96*VLOOKUP(D96,$Z$3:$AC$6,3,FALSE),2)))</f>
        <v/>
      </c>
      <c r="T96" s="158" t="str">
        <f t="shared" ref="T96" si="437">IF(OR(I96="",I97=""),"",IF(OR(V96="менее 1,00 мкг/кг",V96="менее 2,5 мкг/кг",V96="менее 0,16 мкг/кг",V96="более 32,00 мкг/кг",V96="более 160,0 мкг/кг",V96="более 8,00 мкг/кг"),"",IF(OR(D96="молоко, сухое молоко, детское питание",D96="молоко сгущенное"),TEXT(R96,"0,00"),TEXT(R97,"0,0"))))</f>
        <v/>
      </c>
      <c r="U96" s="155" t="str">
        <f t="shared" si="421"/>
        <v/>
      </c>
      <c r="V96" s="145" t="str">
        <f t="shared" ref="V96" si="438">IF(I96="","",IF(AND(D96="мясо, рыба, субпродукты",OR(R96&lt;2.5,I96&gt;=$I$22,I97&gt;=$I$22)),"менее 2,5 мкг/кг",IF(AND(D96="мясо, рыба, субпродукты",R96&gt;160,R96&lt;&gt;""),"более 160,0 мкг/кг",IF(AND(D96="молоко сгущенное",OR(R96&lt;1,I96&gt;=$I$22,I97&gt;=$I$22)),"менее 1,00 мкг/кг",IF(AND(D96="молоко сгущенное",R96&gt;32,R96&lt;&gt;""),"более 32,00 мкг/кг",IF(AND(D96="молоко, сухое молоко, детское питание",OR(R96&lt;0.16,I96&gt;=$I$22,I97&gt;=$I$22)),"менее 0,16 мкг/кг",IF(AND(D96="молоко, сухое молоко, детское питание",R96&gt;8,R96&lt;&gt;""),"более 8,00 мкг/кг",IF(AND(D96="молочная сыворотка, творог, сыр, масло, сливки, кисломолочные продукты, мороженное",OR(R96&lt;2.5,I96&gt;=$I$22,I97&gt;=$I$22)),"менее 2,5 мкг/кг",IF(AND(D96="молочная сыворотка, творог, сыр, масло, сливки, кисломолочные продукты, мороженное",R96&gt;160,R96&lt;&gt;""),"более 160,0 мкг/кг","соответствует")))))))))</f>
        <v/>
      </c>
    </row>
    <row r="97" spans="1:22" ht="15.75" customHeight="1" thickTop="1" thickBot="1">
      <c r="A97" s="157"/>
      <c r="B97" s="164"/>
      <c r="C97" s="164"/>
      <c r="D97" s="154"/>
      <c r="E97" s="154"/>
      <c r="F97" s="79"/>
      <c r="G97" s="111"/>
      <c r="H97" s="148"/>
      <c r="I97" s="86"/>
      <c r="J97" s="93" t="str">
        <f t="shared" si="430"/>
        <v/>
      </c>
      <c r="K97" s="94" t="str">
        <f t="shared" si="423"/>
        <v/>
      </c>
      <c r="L97" s="94"/>
      <c r="M97" s="41" t="str">
        <f t="shared" si="424"/>
        <v/>
      </c>
      <c r="N97" s="150" t="str">
        <f t="shared" ref="N97" si="439">IF(I97=M97,"0,0%",STDEV(I97:M97)/AVERAGE(I97:M97))</f>
        <v>0,0%</v>
      </c>
      <c r="O97" s="41" t="str">
        <f t="shared" ref="O97" si="440">IF(M97="","",10^((M97-INTERCEPT($M$11:$M$16,$J$11:$J$16))/SLOPE($M$11:$M$16,$J$11:$J$16))*H96)</f>
        <v/>
      </c>
      <c r="P97" s="11" t="e">
        <f>VLOOKUP(D96,$Z$3:$AC$6,2,FALSE)</f>
        <v>#N/A</v>
      </c>
      <c r="Q97" s="152"/>
      <c r="R97" s="105" t="str">
        <f t="shared" ref="R97" si="441">IF(O96="","",IF(OR(D96="мясо, рыба, субпродукты",D96="молочная сыворотка, творог, сыр, масло, сливки, кисломолочные продукты, мороженное"),ROUND(AVERAGE(O96:O97),1),ROUND(AVERAGE(O96:O97),1)))</f>
        <v/>
      </c>
      <c r="S97" s="103" t="str">
        <f t="shared" ref="S97" si="442">IF(OR(I96="",I97=""),"",IF(OR(V96="менее 1,00 мкг/кг",V96="менее 2,5 мкг/кг",V96="менее 0,16 мкг/кг",V96="более 32,00 мкг/кг",V96="более 160,0 мкг/кг",V96="более 8,00 мкг/кг"),"",ROUND(0.01*T96*VLOOKUP(D96,$Z$3:$AC$6,3,FALSE),1)))</f>
        <v/>
      </c>
      <c r="T97" s="159"/>
      <c r="U97" s="156"/>
      <c r="V97" s="146"/>
    </row>
    <row r="98" spans="1:22" ht="15.75" customHeight="1" thickTop="1" thickBot="1">
      <c r="A98" s="129">
        <v>35</v>
      </c>
      <c r="B98" s="164"/>
      <c r="C98" s="164"/>
      <c r="D98" s="160"/>
      <c r="E98" s="161"/>
      <c r="F98" s="77"/>
      <c r="G98" s="110"/>
      <c r="H98" s="147" t="str">
        <f t="shared" ref="H98" si="443">IF(D98="","",VLOOKUP(D98,$Z$3:$AC$6,4,FALSE))</f>
        <v/>
      </c>
      <c r="I98" s="86"/>
      <c r="J98" s="93" t="str">
        <f t="shared" si="430"/>
        <v/>
      </c>
      <c r="K98" s="94" t="str">
        <f t="shared" si="423"/>
        <v/>
      </c>
      <c r="L98" s="94"/>
      <c r="M98" s="41" t="str">
        <f t="shared" si="424"/>
        <v/>
      </c>
      <c r="N98" s="149" t="str">
        <f t="shared" ref="N98" si="444">IF(OR(I99="",I98=""),"",IF(M98="","",STDEV(J98:J99)/AVERAGE(J98:J99)))</f>
        <v/>
      </c>
      <c r="O98" s="41" t="str">
        <f t="shared" ref="O98" si="445">IF(M98="","",10^((M98-INTERCEPT($M$11:$M$16,$J$11:$J$16))/SLOPE($M$11:$M$16,$J$11:$J$16))*H98)</f>
        <v/>
      </c>
      <c r="P98" s="10" t="e">
        <f t="shared" ref="P98" si="446">ABS(O98-O99)</f>
        <v>#VALUE!</v>
      </c>
      <c r="Q98" s="151" t="str">
        <f t="shared" ref="Q98" si="447">IF(T98="","",IF(OR(V98="менее 1,00 мкг/кг",V98="менее 2,5 мкг/кг",V98="менее 0,16 мкг/кг",V98="более 32,00 мкг/кг",V98="более 160,0 мкг/кг",V98="более 8,00 мкг/кг"),"",IF(0.01*T98*P99&gt;P98,"приемлемы","неприемлемы")))</f>
        <v/>
      </c>
      <c r="R98" s="102" t="str">
        <f t="shared" ref="R98" si="448">IF(O98="","",IF(OR(D98="мясо, рыба, субпродукты",D98="молочная сыворотка, творог, сыр, масло, сливки, кисломолочные продукты, мороженное"),ROUND(AVERAGE(O98:O99),1),ROUND(AVERAGE(O98:O99),2)))</f>
        <v/>
      </c>
      <c r="S98" s="102" t="str">
        <f t="shared" ref="S98" si="449">IF(OR(I98="",I99=""),"",IF(OR(V98="менее 1,00 мкг/кг",V98="менее 2,5 мкг/кг",V98="менее 0,16 мкг/кг",V98="более 32,00 мкг/кг",V98="более 160,0 мкг/кг",V98="более 8,00 мкг/кг"),"",ROUND(0.01*T98*VLOOKUP(D98,$Z$3:$AC$6,3,FALSE),2)))</f>
        <v/>
      </c>
      <c r="T98" s="158" t="str">
        <f t="shared" ref="T98" si="450">IF(OR(I98="",I99=""),"",IF(OR(V98="менее 1,00 мкг/кг",V98="менее 2,5 мкг/кг",V98="менее 0,16 мкг/кг",V98="более 32,00 мкг/кг",V98="более 160,0 мкг/кг",V98="более 8,00 мкг/кг"),"",IF(OR(D98="молоко, сухое молоко, детское питание",D98="молоко сгущенное"),TEXT(R98,"0,00"),TEXT(R99,"0,0"))))</f>
        <v/>
      </c>
      <c r="U98" s="155" t="str">
        <f t="shared" si="421"/>
        <v/>
      </c>
      <c r="V98" s="145" t="str">
        <f t="shared" ref="V98" si="451">IF(I98="","",IF(AND(D98="мясо, рыба, субпродукты",OR(R98&lt;2.5,I98&gt;=$I$22,I99&gt;=$I$22)),"менее 2,5 мкг/кг",IF(AND(D98="мясо, рыба, субпродукты",R98&gt;160,R98&lt;&gt;""),"более 160,0 мкг/кг",IF(AND(D98="молоко сгущенное",OR(R98&lt;1,I98&gt;=$I$22,I99&gt;=$I$22)),"менее 1,00 мкг/кг",IF(AND(D98="молоко сгущенное",R98&gt;32,R98&lt;&gt;""),"более 32,00 мкг/кг",IF(AND(D98="молоко, сухое молоко, детское питание",OR(R98&lt;0.16,I98&gt;=$I$22,I99&gt;=$I$22)),"менее 0,16 мкг/кг",IF(AND(D98="молоко, сухое молоко, детское питание",R98&gt;8,R98&lt;&gt;""),"более 8,00 мкг/кг",IF(AND(D98="молочная сыворотка, творог, сыр, масло, сливки, кисломолочные продукты, мороженное",OR(R98&lt;2.5,I98&gt;=$I$22,I99&gt;=$I$22)),"менее 2,5 мкг/кг",IF(AND(D98="молочная сыворотка, творог, сыр, масло, сливки, кисломолочные продукты, мороженное",R98&gt;160,R98&lt;&gt;""),"более 160,0 мкг/кг","соответствует")))))))))</f>
        <v/>
      </c>
    </row>
    <row r="99" spans="1:22" ht="15.75" customHeight="1" thickTop="1" thickBot="1">
      <c r="A99" s="157"/>
      <c r="B99" s="164"/>
      <c r="C99" s="164"/>
      <c r="D99" s="162"/>
      <c r="E99" s="163"/>
      <c r="F99" s="79"/>
      <c r="G99" s="111"/>
      <c r="H99" s="148"/>
      <c r="I99" s="86"/>
      <c r="J99" s="93" t="str">
        <f t="shared" si="430"/>
        <v/>
      </c>
      <c r="K99" s="94" t="str">
        <f t="shared" si="423"/>
        <v/>
      </c>
      <c r="L99" s="94"/>
      <c r="M99" s="41" t="str">
        <f t="shared" si="424"/>
        <v/>
      </c>
      <c r="N99" s="150" t="str">
        <f t="shared" ref="N99" si="452">IF(I99=M99,"0,0%",STDEV(I99:M99)/AVERAGE(I99:M99))</f>
        <v>0,0%</v>
      </c>
      <c r="O99" s="41" t="str">
        <f t="shared" ref="O99" si="453">IF(M99="","",10^((M99-INTERCEPT($M$11:$M$16,$J$11:$J$16))/SLOPE($M$11:$M$16,$J$11:$J$16))*H98)</f>
        <v/>
      </c>
      <c r="P99" s="11" t="e">
        <f>VLOOKUP(D98,$Z$3:$AC$6,2,FALSE)</f>
        <v>#N/A</v>
      </c>
      <c r="Q99" s="152"/>
      <c r="R99" s="105" t="str">
        <f t="shared" ref="R99" si="454">IF(O98="","",IF(OR(D98="мясо, рыба, субпродукты",D98="молочная сыворотка, творог, сыр, масло, сливки, кисломолочные продукты, мороженное"),ROUND(AVERAGE(O98:O99),1),ROUND(AVERAGE(O98:O99),1)))</f>
        <v/>
      </c>
      <c r="S99" s="103" t="str">
        <f t="shared" ref="S99" si="455">IF(OR(I98="",I99=""),"",IF(OR(V98="менее 1,00 мкг/кг",V98="менее 2,5 мкг/кг",V98="менее 0,16 мкг/кг",V98="более 32,00 мкг/кг",V98="более 160,0 мкг/кг",V98="более 8,00 мкг/кг"),"",ROUND(0.01*T98*VLOOKUP(D98,$Z$3:$AC$6,3,FALSE),1)))</f>
        <v/>
      </c>
      <c r="T99" s="159"/>
      <c r="U99" s="156"/>
      <c r="V99" s="146"/>
    </row>
    <row r="100" spans="1:22" ht="15.75" customHeight="1" thickTop="1" thickBot="1">
      <c r="A100" s="129">
        <v>36</v>
      </c>
      <c r="B100" s="164"/>
      <c r="C100" s="164"/>
      <c r="D100" s="154"/>
      <c r="E100" s="154"/>
      <c r="F100" s="77"/>
      <c r="G100" s="110"/>
      <c r="H100" s="147" t="str">
        <f t="shared" ref="H100" si="456">IF(D100="","",VLOOKUP(D100,$Z$3:$AC$6,4,FALSE))</f>
        <v/>
      </c>
      <c r="I100" s="86"/>
      <c r="J100" s="93" t="str">
        <f t="shared" si="430"/>
        <v/>
      </c>
      <c r="K100" s="94" t="str">
        <f t="shared" si="423"/>
        <v/>
      </c>
      <c r="L100" s="94"/>
      <c r="M100" s="41" t="str">
        <f t="shared" si="424"/>
        <v/>
      </c>
      <c r="N100" s="149" t="str">
        <f t="shared" ref="N100" si="457">IF(OR(I101="",I100=""),"",IF(M100="","",STDEV(J100:J101)/AVERAGE(J100:J101)))</f>
        <v/>
      </c>
      <c r="O100" s="41" t="str">
        <f t="shared" ref="O100" si="458">IF(M100="","",10^((M100-INTERCEPT($M$11:$M$16,$J$11:$J$16))/SLOPE($M$11:$M$16,$J$11:$J$16))*H100)</f>
        <v/>
      </c>
      <c r="P100" s="10" t="e">
        <f t="shared" ref="P100" si="459">ABS(O100-O101)</f>
        <v>#VALUE!</v>
      </c>
      <c r="Q100" s="151" t="str">
        <f t="shared" ref="Q100" si="460">IF(T100="","",IF(OR(V100="менее 1,00 мкг/кг",V100="менее 2,5 мкг/кг",V100="менее 0,16 мкг/кг",V100="более 32,00 мкг/кг",V100="более 160,0 мкг/кг",V100="более 8,00 мкг/кг"),"",IF(0.01*T100*P101&gt;P100,"приемлемы","неприемлемы")))</f>
        <v/>
      </c>
      <c r="R100" s="102" t="str">
        <f t="shared" ref="R100" si="461">IF(O100="","",IF(OR(D100="мясо, рыба, субпродукты",D100="молочная сыворотка, творог, сыр, масло, сливки, кисломолочные продукты, мороженное"),ROUND(AVERAGE(O100:O101),1),ROUND(AVERAGE(O100:O101),2)))</f>
        <v/>
      </c>
      <c r="S100" s="102" t="str">
        <f t="shared" ref="S100" si="462">IF(OR(I100="",I101=""),"",IF(OR(V100="менее 1,00 мкг/кг",V100="менее 2,5 мкг/кг",V100="менее 0,16 мкг/кг",V100="более 32,00 мкг/кг",V100="более 160,0 мкг/кг",V100="более 8,00 мкг/кг"),"",ROUND(0.01*T100*VLOOKUP(D100,$Z$3:$AC$6,3,FALSE),2)))</f>
        <v/>
      </c>
      <c r="T100" s="158" t="str">
        <f t="shared" ref="T100" si="463">IF(OR(I100="",I101=""),"",IF(OR(V100="менее 1,00 мкг/кг",V100="менее 2,5 мкг/кг",V100="менее 0,16 мкг/кг",V100="более 32,00 мкг/кг",V100="более 160,0 мкг/кг",V100="более 8,00 мкг/кг"),"",IF(OR(D100="молоко, сухое молоко, детское питание",D100="молоко сгущенное"),TEXT(R100,"0,00"),TEXT(R101,"0,0"))))</f>
        <v/>
      </c>
      <c r="U100" s="155" t="str">
        <f t="shared" si="421"/>
        <v/>
      </c>
      <c r="V100" s="145" t="str">
        <f t="shared" ref="V100" si="464">IF(I100="","",IF(AND(D100="мясо, рыба, субпродукты",OR(R100&lt;2.5,I100&gt;=$I$22,I101&gt;=$I$22)),"менее 2,5 мкг/кг",IF(AND(D100="мясо, рыба, субпродукты",R100&gt;160,R100&lt;&gt;""),"более 160,0 мкг/кг",IF(AND(D100="молоко сгущенное",OR(R100&lt;1,I100&gt;=$I$22,I101&gt;=$I$22)),"менее 1,00 мкг/кг",IF(AND(D100="молоко сгущенное",R100&gt;32,R100&lt;&gt;""),"более 32,00 мкг/кг",IF(AND(D100="молоко, сухое молоко, детское питание",OR(R100&lt;0.16,I100&gt;=$I$22,I101&gt;=$I$22)),"менее 0,16 мкг/кг",IF(AND(D100="молоко, сухое молоко, детское питание",R100&gt;8,R100&lt;&gt;""),"более 8,00 мкг/кг",IF(AND(D100="молочная сыворотка, творог, сыр, масло, сливки, кисломолочные продукты, мороженное",OR(R100&lt;2.5,I100&gt;=$I$22,I101&gt;=$I$22)),"менее 2,5 мкг/кг",IF(AND(D100="молочная сыворотка, творог, сыр, масло, сливки, кисломолочные продукты, мороженное",R100&gt;160,R100&lt;&gt;""),"более 160,0 мкг/кг","соответствует")))))))))</f>
        <v/>
      </c>
    </row>
    <row r="101" spans="1:22" ht="15.75" customHeight="1" thickTop="1" thickBot="1">
      <c r="A101" s="157"/>
      <c r="B101" s="164"/>
      <c r="C101" s="164"/>
      <c r="D101" s="154"/>
      <c r="E101" s="154"/>
      <c r="F101" s="79"/>
      <c r="G101" s="111"/>
      <c r="H101" s="148"/>
      <c r="I101" s="86"/>
      <c r="J101" s="93" t="str">
        <f t="shared" si="430"/>
        <v/>
      </c>
      <c r="K101" s="94" t="str">
        <f t="shared" si="423"/>
        <v/>
      </c>
      <c r="L101" s="94"/>
      <c r="M101" s="41" t="str">
        <f t="shared" si="424"/>
        <v/>
      </c>
      <c r="N101" s="150" t="str">
        <f t="shared" ref="N101" si="465">IF(I101=M101,"0,0%",STDEV(I101:M101)/AVERAGE(I101:M101))</f>
        <v>0,0%</v>
      </c>
      <c r="O101" s="41" t="str">
        <f t="shared" ref="O101" si="466">IF(M101="","",10^((M101-INTERCEPT($M$11:$M$16,$J$11:$J$16))/SLOPE($M$11:$M$16,$J$11:$J$16))*H100)</f>
        <v/>
      </c>
      <c r="P101" s="11" t="e">
        <f>VLOOKUP(D100,$Z$3:$AC$6,2,FALSE)</f>
        <v>#N/A</v>
      </c>
      <c r="Q101" s="152"/>
      <c r="R101" s="105" t="str">
        <f t="shared" ref="R101" si="467">IF(O100="","",IF(OR(D100="мясо, рыба, субпродукты",D100="молочная сыворотка, творог, сыр, масло, сливки, кисломолочные продукты, мороженное"),ROUND(AVERAGE(O100:O101),1),ROUND(AVERAGE(O100:O101),1)))</f>
        <v/>
      </c>
      <c r="S101" s="103" t="str">
        <f t="shared" ref="S101" si="468">IF(OR(I100="",I101=""),"",IF(OR(V100="менее 1,00 мкг/кг",V100="менее 2,5 мкг/кг",V100="менее 0,16 мкг/кг",V100="более 32,00 мкг/кг",V100="более 160,0 мкг/кг",V100="более 8,00 мкг/кг"),"",ROUND(0.01*T100*VLOOKUP(D100,$Z$3:$AC$6,3,FALSE),1)))</f>
        <v/>
      </c>
      <c r="T101" s="159"/>
      <c r="U101" s="156"/>
      <c r="V101" s="146"/>
    </row>
    <row r="102" spans="1:22" ht="15.75" customHeight="1" thickTop="1" thickBot="1">
      <c r="A102" s="129">
        <v>37</v>
      </c>
      <c r="B102" s="164"/>
      <c r="C102" s="164"/>
      <c r="D102" s="154"/>
      <c r="E102" s="154"/>
      <c r="F102" s="77"/>
      <c r="G102" s="110"/>
      <c r="H102" s="147" t="str">
        <f t="shared" ref="H102" si="469">IF(D102="","",VLOOKUP(D102,$Z$3:$AC$6,4,FALSE))</f>
        <v/>
      </c>
      <c r="I102" s="86"/>
      <c r="J102" s="93" t="str">
        <f t="shared" si="430"/>
        <v/>
      </c>
      <c r="K102" s="94" t="str">
        <f t="shared" si="423"/>
        <v/>
      </c>
      <c r="L102" s="94"/>
      <c r="M102" s="41" t="str">
        <f t="shared" si="424"/>
        <v/>
      </c>
      <c r="N102" s="149" t="str">
        <f t="shared" ref="N102" si="470">IF(OR(I103="",I102=""),"",IF(M102="","",STDEV(J102:J103)/AVERAGE(J102:J103)))</f>
        <v/>
      </c>
      <c r="O102" s="41" t="str">
        <f t="shared" ref="O102" si="471">IF(M102="","",10^((M102-INTERCEPT($M$11:$M$16,$J$11:$J$16))/SLOPE($M$11:$M$16,$J$11:$J$16))*H102)</f>
        <v/>
      </c>
      <c r="P102" s="10" t="e">
        <f t="shared" ref="P102" si="472">ABS(O102-O103)</f>
        <v>#VALUE!</v>
      </c>
      <c r="Q102" s="151" t="str">
        <f t="shared" ref="Q102" si="473">IF(T102="","",IF(OR(V102="менее 1,00 мкг/кг",V102="менее 2,5 мкг/кг",V102="менее 0,16 мкг/кг",V102="более 32,00 мкг/кг",V102="более 160,0 мкг/кг",V102="более 8,00 мкг/кг"),"",IF(0.01*T102*P103&gt;P102,"приемлемы","неприемлемы")))</f>
        <v/>
      </c>
      <c r="R102" s="102" t="str">
        <f t="shared" ref="R102" si="474">IF(O102="","",IF(OR(D102="мясо, рыба, субпродукты",D102="молочная сыворотка, творог, сыр, масло, сливки, кисломолочные продукты, мороженное"),ROUND(AVERAGE(O102:O103),1),ROUND(AVERAGE(O102:O103),2)))</f>
        <v/>
      </c>
      <c r="S102" s="102" t="str">
        <f t="shared" ref="S102" si="475">IF(OR(I102="",I103=""),"",IF(OR(V102="менее 1,00 мкг/кг",V102="менее 2,5 мкг/кг",V102="менее 0,16 мкг/кг",V102="более 32,00 мкг/кг",V102="более 160,0 мкг/кг",V102="более 8,00 мкг/кг"),"",ROUND(0.01*T102*VLOOKUP(D102,$Z$3:$AC$6,3,FALSE),2)))</f>
        <v/>
      </c>
      <c r="T102" s="158" t="str">
        <f t="shared" ref="T102" si="476">IF(OR(I102="",I103=""),"",IF(OR(V102="менее 1,00 мкг/кг",V102="менее 2,5 мкг/кг",V102="менее 0,16 мкг/кг",V102="более 32,00 мкг/кг",V102="более 160,0 мкг/кг",V102="более 8,00 мкг/кг"),"",IF(OR(D102="молоко, сухое молоко, детское питание",D102="молоко сгущенное"),TEXT(R102,"0,00"),TEXT(R103,"0,0"))))</f>
        <v/>
      </c>
      <c r="U102" s="155" t="str">
        <f t="shared" si="421"/>
        <v/>
      </c>
      <c r="V102" s="145" t="str">
        <f t="shared" ref="V102" si="477">IF(I102="","",IF(AND(D102="мясо, рыба, субпродукты",OR(R102&lt;2.5,I102&gt;=$I$22,I103&gt;=$I$22)),"менее 2,5 мкг/кг",IF(AND(D102="мясо, рыба, субпродукты",R102&gt;160,R102&lt;&gt;""),"более 160,0 мкг/кг",IF(AND(D102="молоко сгущенное",OR(R102&lt;1,I102&gt;=$I$22,I103&gt;=$I$22)),"менее 1,00 мкг/кг",IF(AND(D102="молоко сгущенное",R102&gt;32,R102&lt;&gt;""),"более 32,00 мкг/кг",IF(AND(D102="молоко, сухое молоко, детское питание",OR(R102&lt;0.16,I102&gt;=$I$22,I103&gt;=$I$22)),"менее 0,16 мкг/кг",IF(AND(D102="молоко, сухое молоко, детское питание",R102&gt;8,R102&lt;&gt;""),"более 8,00 мкг/кг",IF(AND(D102="молочная сыворотка, творог, сыр, масло, сливки, кисломолочные продукты, мороженное",OR(R102&lt;2.5,I102&gt;=$I$22,I103&gt;=$I$22)),"менее 2,5 мкг/кг",IF(AND(D102="молочная сыворотка, творог, сыр, масло, сливки, кисломолочные продукты, мороженное",R102&gt;160,R102&lt;&gt;""),"более 160,0 мкг/кг","соответствует")))))))))</f>
        <v/>
      </c>
    </row>
    <row r="103" spans="1:22" ht="15.75" customHeight="1" thickTop="1" thickBot="1">
      <c r="A103" s="157"/>
      <c r="B103" s="164"/>
      <c r="C103" s="164"/>
      <c r="D103" s="154"/>
      <c r="E103" s="154"/>
      <c r="F103" s="79"/>
      <c r="G103" s="111"/>
      <c r="H103" s="148"/>
      <c r="I103" s="86"/>
      <c r="J103" s="93" t="str">
        <f t="shared" si="430"/>
        <v/>
      </c>
      <c r="K103" s="94" t="str">
        <f t="shared" si="423"/>
        <v/>
      </c>
      <c r="L103" s="94"/>
      <c r="M103" s="41" t="str">
        <f t="shared" si="424"/>
        <v/>
      </c>
      <c r="N103" s="150" t="str">
        <f t="shared" ref="N103" si="478">IF(I103=M103,"0,0%",STDEV(I103:M103)/AVERAGE(I103:M103))</f>
        <v>0,0%</v>
      </c>
      <c r="O103" s="41" t="str">
        <f t="shared" ref="O103" si="479">IF(M103="","",10^((M103-INTERCEPT($M$11:$M$16,$J$11:$J$16))/SLOPE($M$11:$M$16,$J$11:$J$16))*H102)</f>
        <v/>
      </c>
      <c r="P103" s="11" t="e">
        <f>VLOOKUP(D102,$Z$3:$AC$6,2,FALSE)</f>
        <v>#N/A</v>
      </c>
      <c r="Q103" s="152"/>
      <c r="R103" s="105" t="str">
        <f t="shared" ref="R103" si="480">IF(O102="","",IF(OR(D102="мясо, рыба, субпродукты",D102="молочная сыворотка, творог, сыр, масло, сливки, кисломолочные продукты, мороженное"),ROUND(AVERAGE(O102:O103),1),ROUND(AVERAGE(O102:O103),1)))</f>
        <v/>
      </c>
      <c r="S103" s="103" t="str">
        <f t="shared" ref="S103" si="481">IF(OR(I102="",I103=""),"",IF(OR(V102="менее 1,00 мкг/кг",V102="менее 2,5 мкг/кг",V102="менее 0,16 мкг/кг",V102="более 32,00 мкг/кг",V102="более 160,0 мкг/кг",V102="более 8,00 мкг/кг"),"",ROUND(0.01*T102*VLOOKUP(D102,$Z$3:$AC$6,3,FALSE),1)))</f>
        <v/>
      </c>
      <c r="T103" s="159"/>
      <c r="U103" s="156"/>
      <c r="V103" s="146"/>
    </row>
    <row r="104" spans="1:22" ht="15.75" customHeight="1" thickTop="1" thickBot="1">
      <c r="A104" s="129">
        <v>38</v>
      </c>
      <c r="B104" s="164"/>
      <c r="C104" s="164"/>
      <c r="D104" s="154"/>
      <c r="E104" s="154"/>
      <c r="F104" s="77"/>
      <c r="G104" s="110"/>
      <c r="H104" s="147" t="str">
        <f t="shared" ref="H104" si="482">IF(D104="","",VLOOKUP(D104,$Z$3:$AC$6,4,FALSE))</f>
        <v/>
      </c>
      <c r="I104" s="86"/>
      <c r="J104" s="93" t="str">
        <f t="shared" si="430"/>
        <v/>
      </c>
      <c r="K104" s="94" t="str">
        <f t="shared" si="423"/>
        <v/>
      </c>
      <c r="L104" s="94"/>
      <c r="M104" s="41" t="str">
        <f t="shared" si="424"/>
        <v/>
      </c>
      <c r="N104" s="149" t="str">
        <f t="shared" ref="N104" si="483">IF(OR(I105="",I104=""),"",IF(M104="","",STDEV(J104:J105)/AVERAGE(J104:J105)))</f>
        <v/>
      </c>
      <c r="O104" s="41" t="str">
        <f t="shared" ref="O104" si="484">IF(M104="","",10^((M104-INTERCEPT($M$11:$M$16,$J$11:$J$16))/SLOPE($M$11:$M$16,$J$11:$J$16))*H104)</f>
        <v/>
      </c>
      <c r="P104" s="10" t="e">
        <f t="shared" ref="P104" si="485">ABS(O104-O105)</f>
        <v>#VALUE!</v>
      </c>
      <c r="Q104" s="151" t="str">
        <f t="shared" ref="Q104" si="486">IF(T104="","",IF(OR(V104="менее 1,00 мкг/кг",V104="менее 2,5 мкг/кг",V104="менее 0,16 мкг/кг",V104="более 32,00 мкг/кг",V104="более 160,0 мкг/кг",V104="более 8,00 мкг/кг"),"",IF(0.01*T104*P105&gt;P104,"приемлемы","неприемлемы")))</f>
        <v/>
      </c>
      <c r="R104" s="102" t="str">
        <f t="shared" ref="R104" si="487">IF(O104="","",IF(OR(D104="мясо, рыба, субпродукты",D104="молочная сыворотка, творог, сыр, масло, сливки, кисломолочные продукты, мороженное"),ROUND(AVERAGE(O104:O105),1),ROUND(AVERAGE(O104:O105),2)))</f>
        <v/>
      </c>
      <c r="S104" s="102" t="str">
        <f t="shared" ref="S104" si="488">IF(OR(I104="",I105=""),"",IF(OR(V104="менее 1,00 мкг/кг",V104="менее 2,5 мкг/кг",V104="менее 0,16 мкг/кг",V104="более 32,00 мкг/кг",V104="более 160,0 мкг/кг",V104="более 8,00 мкг/кг"),"",ROUND(0.01*T104*VLOOKUP(D104,$Z$3:$AC$6,3,FALSE),2)))</f>
        <v/>
      </c>
      <c r="T104" s="158" t="str">
        <f t="shared" ref="T104" si="489">IF(OR(I104="",I105=""),"",IF(OR(V104="менее 1,00 мкг/кг",V104="менее 2,5 мкг/кг",V104="менее 0,16 мкг/кг",V104="более 32,00 мкг/кг",V104="более 160,0 мкг/кг",V104="более 8,00 мкг/кг"),"",IF(OR(D104="молоко, сухое молоко, детское питание",D104="молоко сгущенное"),TEXT(R104,"0,00"),TEXT(R105,"0,0"))))</f>
        <v/>
      </c>
      <c r="U104" s="155" t="str">
        <f t="shared" si="421"/>
        <v/>
      </c>
      <c r="V104" s="145" t="str">
        <f t="shared" ref="V104" si="490">IF(I104="","",IF(AND(D104="мясо, рыба, субпродукты",OR(R104&lt;2.5,I104&gt;=$I$22,I105&gt;=$I$22)),"менее 2,5 мкг/кг",IF(AND(D104="мясо, рыба, субпродукты",R104&gt;160,R104&lt;&gt;""),"более 160,0 мкг/кг",IF(AND(D104="молоко сгущенное",OR(R104&lt;1,I104&gt;=$I$22,I105&gt;=$I$22)),"менее 1,00 мкг/кг",IF(AND(D104="молоко сгущенное",R104&gt;32,R104&lt;&gt;""),"более 32,00 мкг/кг",IF(AND(D104="молоко, сухое молоко, детское питание",OR(R104&lt;0.16,I104&gt;=$I$22,I105&gt;=$I$22)),"менее 0,16 мкг/кг",IF(AND(D104="молоко, сухое молоко, детское питание",R104&gt;8,R104&lt;&gt;""),"более 8,00 мкг/кг",IF(AND(D104="молочная сыворотка, творог, сыр, масло, сливки, кисломолочные продукты, мороженное",OR(R104&lt;2.5,I104&gt;=$I$22,I105&gt;=$I$22)),"менее 2,5 мкг/кг",IF(AND(D104="молочная сыворотка, творог, сыр, масло, сливки, кисломолочные продукты, мороженное",R104&gt;160,R104&lt;&gt;""),"более 160,0 мкг/кг","соответствует")))))))))</f>
        <v/>
      </c>
    </row>
    <row r="105" spans="1:22" ht="15.75" customHeight="1" thickTop="1" thickBot="1">
      <c r="A105" s="157"/>
      <c r="B105" s="164"/>
      <c r="C105" s="164"/>
      <c r="D105" s="154"/>
      <c r="E105" s="154"/>
      <c r="F105" s="79"/>
      <c r="G105" s="111"/>
      <c r="H105" s="148"/>
      <c r="I105" s="86"/>
      <c r="J105" s="93" t="str">
        <f t="shared" si="430"/>
        <v/>
      </c>
      <c r="K105" s="94" t="str">
        <f t="shared" si="423"/>
        <v/>
      </c>
      <c r="L105" s="94"/>
      <c r="M105" s="41" t="str">
        <f t="shared" si="424"/>
        <v/>
      </c>
      <c r="N105" s="150" t="str">
        <f t="shared" ref="N105" si="491">IF(I105=M105,"0,0%",STDEV(I105:M105)/AVERAGE(I105:M105))</f>
        <v>0,0%</v>
      </c>
      <c r="O105" s="41" t="str">
        <f t="shared" ref="O105" si="492">IF(M105="","",10^((M105-INTERCEPT($M$11:$M$16,$J$11:$J$16))/SLOPE($M$11:$M$16,$J$11:$J$16))*H104)</f>
        <v/>
      </c>
      <c r="P105" s="11" t="e">
        <f>VLOOKUP(D104,$Z$3:$AC$6,2,FALSE)</f>
        <v>#N/A</v>
      </c>
      <c r="Q105" s="152"/>
      <c r="R105" s="105" t="str">
        <f t="shared" ref="R105" si="493">IF(O104="","",IF(OR(D104="мясо, рыба, субпродукты",D104="молочная сыворотка, творог, сыр, масло, сливки, кисломолочные продукты, мороженное"),ROUND(AVERAGE(O104:O105),1),ROUND(AVERAGE(O104:O105),1)))</f>
        <v/>
      </c>
      <c r="S105" s="103" t="str">
        <f t="shared" ref="S105" si="494">IF(OR(I104="",I105=""),"",IF(OR(V104="менее 1,00 мкг/кг",V104="менее 2,5 мкг/кг",V104="менее 0,16 мкг/кг",V104="более 32,00 мкг/кг",V104="более 160,0 мкг/кг",V104="более 8,00 мкг/кг"),"",ROUND(0.01*T104*VLOOKUP(D104,$Z$3:$AC$6,3,FALSE),1)))</f>
        <v/>
      </c>
      <c r="T105" s="159"/>
      <c r="U105" s="156"/>
      <c r="V105" s="146"/>
    </row>
    <row r="106" spans="1:22" ht="15.75" customHeight="1" thickTop="1" thickBot="1">
      <c r="A106" s="129">
        <v>39</v>
      </c>
      <c r="B106" s="164"/>
      <c r="C106" s="164"/>
      <c r="D106" s="154"/>
      <c r="E106" s="154"/>
      <c r="F106" s="77"/>
      <c r="G106" s="110"/>
      <c r="H106" s="147" t="str">
        <f t="shared" ref="H106" si="495">IF(D106="","",VLOOKUP(D106,$Z$3:$AC$6,4,FALSE))</f>
        <v/>
      </c>
      <c r="I106" s="86"/>
      <c r="J106" s="93" t="str">
        <f t="shared" si="430"/>
        <v/>
      </c>
      <c r="K106" s="94" t="str">
        <f t="shared" si="423"/>
        <v/>
      </c>
      <c r="L106" s="94"/>
      <c r="M106" s="41" t="str">
        <f t="shared" si="424"/>
        <v/>
      </c>
      <c r="N106" s="149" t="str">
        <f t="shared" ref="N106" si="496">IF(OR(I107="",I106=""),"",IF(M106="","",STDEV(J106:J107)/AVERAGE(J106:J107)))</f>
        <v/>
      </c>
      <c r="O106" s="41" t="str">
        <f t="shared" ref="O106" si="497">IF(M106="","",10^((M106-INTERCEPT($M$11:$M$16,$J$11:$J$16))/SLOPE($M$11:$M$16,$J$11:$J$16))*H106)</f>
        <v/>
      </c>
      <c r="P106" s="10" t="e">
        <f t="shared" ref="P106" si="498">ABS(O106-O107)</f>
        <v>#VALUE!</v>
      </c>
      <c r="Q106" s="151" t="str">
        <f t="shared" ref="Q106" si="499">IF(T106="","",IF(OR(V106="менее 1,00 мкг/кг",V106="менее 2,5 мкг/кг",V106="менее 0,16 мкг/кг",V106="более 32,00 мкг/кг",V106="более 160,0 мкг/кг",V106="более 8,00 мкг/кг"),"",IF(0.01*T106*P107&gt;P106,"приемлемы","неприемлемы")))</f>
        <v/>
      </c>
      <c r="R106" s="102" t="str">
        <f t="shared" ref="R106" si="500">IF(O106="","",IF(OR(D106="мясо, рыба, субпродукты",D106="молочная сыворотка, творог, сыр, масло, сливки, кисломолочные продукты, мороженное"),ROUND(AVERAGE(O106:O107),1),ROUND(AVERAGE(O106:O107),2)))</f>
        <v/>
      </c>
      <c r="S106" s="102" t="str">
        <f t="shared" ref="S106" si="501">IF(OR(I106="",I107=""),"",IF(OR(V106="менее 1,00 мкг/кг",V106="менее 2,5 мкг/кг",V106="менее 0,16 мкг/кг",V106="более 32,00 мкг/кг",V106="более 160,0 мкг/кг",V106="более 8,00 мкг/кг"),"",ROUND(0.01*T106*VLOOKUP(D106,$Z$3:$AC$6,3,FALSE),2)))</f>
        <v/>
      </c>
      <c r="T106" s="158" t="str">
        <f t="shared" ref="T106" si="502">IF(OR(I106="",I107=""),"",IF(OR(V106="менее 1,00 мкг/кг",V106="менее 2,5 мкг/кг",V106="менее 0,16 мкг/кг",V106="более 32,00 мкг/кг",V106="более 160,0 мкг/кг",V106="более 8,00 мкг/кг"),"",IF(OR(D106="молоко, сухое молоко, детское питание",D106="молоко сгущенное"),TEXT(R106,"0,00"),TEXT(R107,"0,0"))))</f>
        <v/>
      </c>
      <c r="U106" s="155" t="str">
        <f t="shared" si="421"/>
        <v/>
      </c>
      <c r="V106" s="145" t="str">
        <f t="shared" ref="V106" si="503">IF(I106="","",IF(AND(D106="мясо, рыба, субпродукты",OR(R106&lt;2.5,I106&gt;=$I$22,I107&gt;=$I$22)),"менее 2,5 мкг/кг",IF(AND(D106="мясо, рыба, субпродукты",R106&gt;160,R106&lt;&gt;""),"более 160,0 мкг/кг",IF(AND(D106="молоко сгущенное",OR(R106&lt;1,I106&gt;=$I$22,I107&gt;=$I$22)),"менее 1,00 мкг/кг",IF(AND(D106="молоко сгущенное",R106&gt;32,R106&lt;&gt;""),"более 32,00 мкг/кг",IF(AND(D106="молоко, сухое молоко, детское питание",OR(R106&lt;0.16,I106&gt;=$I$22,I107&gt;=$I$22)),"менее 0,16 мкг/кг",IF(AND(D106="молоко, сухое молоко, детское питание",R106&gt;8,R106&lt;&gt;""),"более 8,00 мкг/кг",IF(AND(D106="молочная сыворотка, творог, сыр, масло, сливки, кисломолочные продукты, мороженное",OR(R106&lt;2.5,I106&gt;=$I$22,I107&gt;=$I$22)),"менее 2,5 мкг/кг",IF(AND(D106="молочная сыворотка, творог, сыр, масло, сливки, кисломолочные продукты, мороженное",R106&gt;160,R106&lt;&gt;""),"более 160,0 мкг/кг","соответствует")))))))))</f>
        <v/>
      </c>
    </row>
    <row r="107" spans="1:22" ht="15.75" customHeight="1" thickTop="1" thickBot="1">
      <c r="A107" s="157"/>
      <c r="B107" s="164"/>
      <c r="C107" s="164"/>
      <c r="D107" s="154"/>
      <c r="E107" s="154"/>
      <c r="F107" s="79"/>
      <c r="G107" s="111"/>
      <c r="H107" s="148"/>
      <c r="I107" s="86"/>
      <c r="J107" s="93" t="str">
        <f t="shared" si="430"/>
        <v/>
      </c>
      <c r="K107" s="94" t="str">
        <f t="shared" si="423"/>
        <v/>
      </c>
      <c r="L107" s="94"/>
      <c r="M107" s="41" t="str">
        <f t="shared" si="424"/>
        <v/>
      </c>
      <c r="N107" s="150" t="str">
        <f t="shared" ref="N107" si="504">IF(I107=M107,"0,0%",STDEV(I107:M107)/AVERAGE(I107:M107))</f>
        <v>0,0%</v>
      </c>
      <c r="O107" s="41" t="str">
        <f t="shared" ref="O107" si="505">IF(M107="","",10^((M107-INTERCEPT($M$11:$M$16,$J$11:$J$16))/SLOPE($M$11:$M$16,$J$11:$J$16))*H106)</f>
        <v/>
      </c>
      <c r="P107" s="11" t="e">
        <f>VLOOKUP(D106,$Z$3:$AC$6,2,FALSE)</f>
        <v>#N/A</v>
      </c>
      <c r="Q107" s="152"/>
      <c r="R107" s="105" t="str">
        <f t="shared" ref="R107" si="506">IF(O106="","",IF(OR(D106="мясо, рыба, субпродукты",D106="молочная сыворотка, творог, сыр, масло, сливки, кисломолочные продукты, мороженное"),ROUND(AVERAGE(O106:O107),1),ROUND(AVERAGE(O106:O107),1)))</f>
        <v/>
      </c>
      <c r="S107" s="103" t="str">
        <f t="shared" ref="S107" si="507">IF(OR(I106="",I107=""),"",IF(OR(V106="менее 1,00 мкг/кг",V106="менее 2,5 мкг/кг",V106="менее 0,16 мкг/кг",V106="более 32,00 мкг/кг",V106="более 160,0 мкг/кг",V106="более 8,00 мкг/кг"),"",ROUND(0.01*T106*VLOOKUP(D106,$Z$3:$AC$6,3,FALSE),1)))</f>
        <v/>
      </c>
      <c r="T107" s="159"/>
      <c r="U107" s="156"/>
      <c r="V107" s="146"/>
    </row>
    <row r="108" spans="1:22" ht="15.75" customHeight="1" thickTop="1" thickBot="1">
      <c r="A108" s="129">
        <v>40</v>
      </c>
      <c r="B108" s="164"/>
      <c r="C108" s="164"/>
      <c r="D108" s="160"/>
      <c r="E108" s="161"/>
      <c r="F108" s="77"/>
      <c r="G108" s="110"/>
      <c r="H108" s="147" t="str">
        <f t="shared" ref="H108" si="508">IF(D108="","",VLOOKUP(D108,$Z$3:$AC$6,4,FALSE))</f>
        <v/>
      </c>
      <c r="I108" s="86"/>
      <c r="J108" s="93" t="str">
        <f t="shared" si="430"/>
        <v/>
      </c>
      <c r="K108" s="94" t="str">
        <f t="shared" si="423"/>
        <v/>
      </c>
      <c r="L108" s="94"/>
      <c r="M108" s="41" t="str">
        <f t="shared" si="424"/>
        <v/>
      </c>
      <c r="N108" s="149" t="str">
        <f t="shared" ref="N108" si="509">IF(OR(I109="",I108=""),"",IF(M108="","",STDEV(J108:J109)/AVERAGE(J108:J109)))</f>
        <v/>
      </c>
      <c r="O108" s="41" t="str">
        <f t="shared" ref="O108" si="510">IF(M108="","",10^((M108-INTERCEPT($M$11:$M$16,$J$11:$J$16))/SLOPE($M$11:$M$16,$J$11:$J$16))*H108)</f>
        <v/>
      </c>
      <c r="P108" s="10" t="e">
        <f t="shared" ref="P108" si="511">ABS(O108-O109)</f>
        <v>#VALUE!</v>
      </c>
      <c r="Q108" s="151" t="str">
        <f t="shared" ref="Q108" si="512">IF(T108="","",IF(OR(V108="менее 1,00 мкг/кг",V108="менее 2,5 мкг/кг",V108="менее 0,16 мкг/кг",V108="более 32,00 мкг/кг",V108="более 160,0 мкг/кг",V108="более 8,00 мкг/кг"),"",IF(0.01*T108*P109&gt;P108,"приемлемы","неприемлемы")))</f>
        <v/>
      </c>
      <c r="R108" s="102" t="str">
        <f t="shared" ref="R108" si="513">IF(O108="","",IF(OR(D108="мясо, рыба, субпродукты",D108="молочная сыворотка, творог, сыр, масло, сливки, кисломолочные продукты, мороженное"),ROUND(AVERAGE(O108:O109),1),ROUND(AVERAGE(O108:O109),2)))</f>
        <v/>
      </c>
      <c r="S108" s="102" t="str">
        <f t="shared" ref="S108" si="514">IF(OR(I108="",I109=""),"",IF(OR(V108="менее 1,00 мкг/кг",V108="менее 2,5 мкг/кг",V108="менее 0,16 мкг/кг",V108="более 32,00 мкг/кг",V108="более 160,0 мкг/кг",V108="более 8,00 мкг/кг"),"",ROUND(0.01*T108*VLOOKUP(D108,$Z$3:$AC$6,3,FALSE),2)))</f>
        <v/>
      </c>
      <c r="T108" s="158" t="str">
        <f t="shared" ref="T108" si="515">IF(OR(I108="",I109=""),"",IF(OR(V108="менее 1,00 мкг/кг",V108="менее 2,5 мкг/кг",V108="менее 0,16 мкг/кг",V108="более 32,00 мкг/кг",V108="более 160,0 мкг/кг",V108="более 8,00 мкг/кг"),"",IF(OR(D108="молоко, сухое молоко, детское питание",D108="молоко сгущенное"),TEXT(R108,"0,00"),TEXT(R109,"0,0"))))</f>
        <v/>
      </c>
      <c r="U108" s="155" t="str">
        <f t="shared" si="421"/>
        <v/>
      </c>
      <c r="V108" s="145" t="str">
        <f t="shared" ref="V108" si="516">IF(I108="","",IF(AND(D108="мясо, рыба, субпродукты",OR(R108&lt;2.5,I108&gt;=$I$22,I109&gt;=$I$22)),"менее 2,5 мкг/кг",IF(AND(D108="мясо, рыба, субпродукты",R108&gt;160,R108&lt;&gt;""),"более 160,0 мкг/кг",IF(AND(D108="молоко сгущенное",OR(R108&lt;1,I108&gt;=$I$22,I109&gt;=$I$22)),"менее 1,00 мкг/кг",IF(AND(D108="молоко сгущенное",R108&gt;32,R108&lt;&gt;""),"более 32,00 мкг/кг",IF(AND(D108="молоко, сухое молоко, детское питание",OR(R108&lt;0.16,I108&gt;=$I$22,I109&gt;=$I$22)),"менее 0,16 мкг/кг",IF(AND(D108="молоко, сухое молоко, детское питание",R108&gt;8,R108&lt;&gt;""),"более 8,00 мкг/кг",IF(AND(D108="молочная сыворотка, творог, сыр, масло, сливки, кисломолочные продукты, мороженное",OR(R108&lt;2.5,I108&gt;=$I$22,I109&gt;=$I$22)),"менее 2,5 мкг/кг",IF(AND(D108="молочная сыворотка, творог, сыр, масло, сливки, кисломолочные продукты, мороженное",R108&gt;160,R108&lt;&gt;""),"более 160,0 мкг/кг","соответствует")))))))))</f>
        <v/>
      </c>
    </row>
    <row r="109" spans="1:22" ht="15.75" customHeight="1" thickTop="1" thickBot="1">
      <c r="A109" s="157"/>
      <c r="B109" s="164"/>
      <c r="C109" s="164"/>
      <c r="D109" s="162"/>
      <c r="E109" s="163"/>
      <c r="F109" s="79"/>
      <c r="G109" s="111"/>
      <c r="H109" s="148"/>
      <c r="I109" s="86"/>
      <c r="J109" s="93" t="str">
        <f t="shared" si="430"/>
        <v/>
      </c>
      <c r="K109" s="94" t="str">
        <f t="shared" si="423"/>
        <v/>
      </c>
      <c r="L109" s="94"/>
      <c r="M109" s="41" t="str">
        <f t="shared" si="424"/>
        <v/>
      </c>
      <c r="N109" s="150" t="str">
        <f t="shared" ref="N109" si="517">IF(I109=M109,"0,0%",STDEV(I109:M109)/AVERAGE(I109:M109))</f>
        <v>0,0%</v>
      </c>
      <c r="O109" s="41" t="str">
        <f t="shared" ref="O109" si="518">IF(M109="","",10^((M109-INTERCEPT($M$11:$M$16,$J$11:$J$16))/SLOPE($M$11:$M$16,$J$11:$J$16))*H108)</f>
        <v/>
      </c>
      <c r="P109" s="11" t="e">
        <f>VLOOKUP(D108,$Z$3:$AC$6,2,FALSE)</f>
        <v>#N/A</v>
      </c>
      <c r="Q109" s="152"/>
      <c r="R109" s="105" t="str">
        <f t="shared" ref="R109" si="519">IF(O108="","",IF(OR(D108="мясо, рыба, субпродукты",D108="молочная сыворотка, творог, сыр, масло, сливки, кисломолочные продукты, мороженное"),ROUND(AVERAGE(O108:O109),1),ROUND(AVERAGE(O108:O109),1)))</f>
        <v/>
      </c>
      <c r="S109" s="103" t="str">
        <f t="shared" ref="S109" si="520">IF(OR(I108="",I109=""),"",IF(OR(V108="менее 1,00 мкг/кг",V108="менее 2,5 мкг/кг",V108="менее 0,16 мкг/кг",V108="более 32,00 мкг/кг",V108="более 160,0 мкг/кг",V108="более 8,00 мкг/кг"),"",ROUND(0.01*T108*VLOOKUP(D108,$Z$3:$AC$6,3,FALSE),1)))</f>
        <v/>
      </c>
      <c r="T109" s="159"/>
      <c r="U109" s="156"/>
      <c r="V109" s="146"/>
    </row>
    <row r="110" spans="1:22" ht="15.75" customHeight="1" thickTop="1" thickBot="1">
      <c r="A110" s="129">
        <v>41</v>
      </c>
      <c r="B110" s="164"/>
      <c r="C110" s="164"/>
      <c r="D110" s="154"/>
      <c r="E110" s="154"/>
      <c r="F110" s="77"/>
      <c r="G110" s="110"/>
      <c r="H110" s="147" t="str">
        <f t="shared" ref="H110" si="521">IF(D110="","",VLOOKUP(D110,$Z$3:$AC$6,4,FALSE))</f>
        <v/>
      </c>
      <c r="I110" s="86"/>
      <c r="J110" s="93" t="str">
        <f t="shared" si="430"/>
        <v/>
      </c>
      <c r="K110" s="94" t="str">
        <f t="shared" si="423"/>
        <v/>
      </c>
      <c r="L110" s="94"/>
      <c r="M110" s="41" t="str">
        <f t="shared" si="424"/>
        <v/>
      </c>
      <c r="N110" s="149" t="str">
        <f t="shared" ref="N110" si="522">IF(OR(I111="",I110=""),"",IF(M110="","",STDEV(J110:J111)/AVERAGE(J110:J111)))</f>
        <v/>
      </c>
      <c r="O110" s="41" t="str">
        <f t="shared" ref="O110" si="523">IF(M110="","",10^((M110-INTERCEPT($M$11:$M$16,$J$11:$J$16))/SLOPE($M$11:$M$16,$J$11:$J$16))*H110)</f>
        <v/>
      </c>
      <c r="P110" s="10" t="e">
        <f t="shared" ref="P110" si="524">ABS(O110-O111)</f>
        <v>#VALUE!</v>
      </c>
      <c r="Q110" s="151" t="str">
        <f t="shared" ref="Q110" si="525">IF(T110="","",IF(OR(V110="менее 1,00 мкг/кг",V110="менее 2,5 мкг/кг",V110="менее 0,16 мкг/кг",V110="более 32,00 мкг/кг",V110="более 160,0 мкг/кг",V110="более 8,00 мкг/кг"),"",IF(0.01*T110*P111&gt;P110,"приемлемы","неприемлемы")))</f>
        <v/>
      </c>
      <c r="R110" s="102" t="str">
        <f t="shared" ref="R110" si="526">IF(O110="","",IF(OR(D110="мясо, рыба, субпродукты",D110="молочная сыворотка, творог, сыр, масло, сливки, кисломолочные продукты, мороженное"),ROUND(AVERAGE(O110:O111),1),ROUND(AVERAGE(O110:O111),2)))</f>
        <v/>
      </c>
      <c r="S110" s="102" t="str">
        <f t="shared" ref="S110" si="527">IF(OR(I110="",I111=""),"",IF(OR(V110="менее 1,00 мкг/кг",V110="менее 2,5 мкг/кг",V110="менее 0,16 мкг/кг",V110="более 32,00 мкг/кг",V110="более 160,0 мкг/кг",V110="более 8,00 мкг/кг"),"",ROUND(0.01*T110*VLOOKUP(D110,$Z$3:$AC$6,3,FALSE),2)))</f>
        <v/>
      </c>
      <c r="T110" s="158" t="str">
        <f t="shared" ref="T110" si="528">IF(OR(I110="",I111=""),"",IF(OR(V110="менее 1,00 мкг/кг",V110="менее 2,5 мкг/кг",V110="менее 0,16 мкг/кг",V110="более 32,00 мкг/кг",V110="более 160,0 мкг/кг",V110="более 8,00 мкг/кг"),"",IF(OR(D110="молоко, сухое молоко, детское питание",D110="молоко сгущенное"),TEXT(R110,"0,00"),TEXT(R111,"0,0"))))</f>
        <v/>
      </c>
      <c r="U110" s="155" t="str">
        <f t="shared" si="421"/>
        <v/>
      </c>
      <c r="V110" s="145" t="str">
        <f t="shared" ref="V110" si="529">IF(I110="","",IF(AND(D110="мясо, рыба, субпродукты",OR(R110&lt;2.5,I110&gt;=$I$22,I111&gt;=$I$22)),"менее 2,5 мкг/кг",IF(AND(D110="мясо, рыба, субпродукты",R110&gt;160,R110&lt;&gt;""),"более 160,0 мкг/кг",IF(AND(D110="молоко сгущенное",OR(R110&lt;1,I110&gt;=$I$22,I111&gt;=$I$22)),"менее 1,00 мкг/кг",IF(AND(D110="молоко сгущенное",R110&gt;32,R110&lt;&gt;""),"более 32,00 мкг/кг",IF(AND(D110="молоко, сухое молоко, детское питание",OR(R110&lt;0.16,I110&gt;=$I$22,I111&gt;=$I$22)),"менее 0,16 мкг/кг",IF(AND(D110="молоко, сухое молоко, детское питание",R110&gt;8,R110&lt;&gt;""),"более 8,00 мкг/кг",IF(AND(D110="молочная сыворотка, творог, сыр, масло, сливки, кисломолочные продукты, мороженное",OR(R110&lt;2.5,I110&gt;=$I$22,I111&gt;=$I$22)),"менее 2,5 мкг/кг",IF(AND(D110="молочная сыворотка, творог, сыр, масло, сливки, кисломолочные продукты, мороженное",R110&gt;160,R110&lt;&gt;""),"более 160,0 мкг/кг","соответствует")))))))))</f>
        <v/>
      </c>
    </row>
    <row r="111" spans="1:22" ht="15.75" customHeight="1" thickTop="1" thickBot="1">
      <c r="A111" s="157"/>
      <c r="B111" s="164"/>
      <c r="C111" s="164"/>
      <c r="D111" s="154"/>
      <c r="E111" s="154"/>
      <c r="F111" s="79"/>
      <c r="G111" s="111"/>
      <c r="H111" s="148"/>
      <c r="I111" s="86"/>
      <c r="J111" s="93" t="str">
        <f t="shared" si="430"/>
        <v/>
      </c>
      <c r="K111" s="94" t="str">
        <f t="shared" si="423"/>
        <v/>
      </c>
      <c r="L111" s="94"/>
      <c r="M111" s="41" t="str">
        <f t="shared" si="424"/>
        <v/>
      </c>
      <c r="N111" s="150" t="str">
        <f t="shared" ref="N111" si="530">IF(I111=M111,"0,0%",STDEV(I111:M111)/AVERAGE(I111:M111))</f>
        <v>0,0%</v>
      </c>
      <c r="O111" s="41" t="str">
        <f t="shared" ref="O111" si="531">IF(M111="","",10^((M111-INTERCEPT($M$11:$M$16,$J$11:$J$16))/SLOPE($M$11:$M$16,$J$11:$J$16))*H110)</f>
        <v/>
      </c>
      <c r="P111" s="11" t="e">
        <f>VLOOKUP(D110,$Z$3:$AC$6,2,FALSE)</f>
        <v>#N/A</v>
      </c>
      <c r="Q111" s="152"/>
      <c r="R111" s="105" t="str">
        <f t="shared" ref="R111" si="532">IF(O110="","",IF(OR(D110="мясо, рыба, субпродукты",D110="молочная сыворотка, творог, сыр, масло, сливки, кисломолочные продукты, мороженное"),ROUND(AVERAGE(O110:O111),1),ROUND(AVERAGE(O110:O111),1)))</f>
        <v/>
      </c>
      <c r="S111" s="103" t="str">
        <f t="shared" ref="S111" si="533">IF(OR(I110="",I111=""),"",IF(OR(V110="менее 1,00 мкг/кг",V110="менее 2,5 мкг/кг",V110="менее 0,16 мкг/кг",V110="более 32,00 мкг/кг",V110="более 160,0 мкг/кг",V110="более 8,00 мкг/кг"),"",ROUND(0.01*T110*VLOOKUP(D110,$Z$3:$AC$6,3,FALSE),1)))</f>
        <v/>
      </c>
      <c r="T111" s="159"/>
      <c r="U111" s="156"/>
      <c r="V111" s="146"/>
    </row>
    <row r="112" spans="1:22" ht="15.75" customHeight="1" thickTop="1" thickBot="1">
      <c r="A112" s="129">
        <v>42</v>
      </c>
      <c r="B112" s="164"/>
      <c r="C112" s="164"/>
      <c r="D112" s="154"/>
      <c r="E112" s="154"/>
      <c r="F112" s="77"/>
      <c r="G112" s="110"/>
      <c r="H112" s="147" t="str">
        <f t="shared" ref="H112" si="534">IF(D112="","",VLOOKUP(D112,$Z$3:$AC$6,4,FALSE))</f>
        <v/>
      </c>
      <c r="I112" s="86"/>
      <c r="J112" s="93" t="str">
        <f t="shared" si="430"/>
        <v/>
      </c>
      <c r="K112" s="94" t="str">
        <f t="shared" si="423"/>
        <v/>
      </c>
      <c r="L112" s="94"/>
      <c r="M112" s="41" t="str">
        <f t="shared" si="424"/>
        <v/>
      </c>
      <c r="N112" s="149" t="str">
        <f t="shared" ref="N112" si="535">IF(OR(I113="",I112=""),"",IF(M112="","",STDEV(J112:J113)/AVERAGE(J112:J113)))</f>
        <v/>
      </c>
      <c r="O112" s="41" t="str">
        <f t="shared" ref="O112" si="536">IF(M112="","",10^((M112-INTERCEPT($M$11:$M$16,$J$11:$J$16))/SLOPE($M$11:$M$16,$J$11:$J$16))*H112)</f>
        <v/>
      </c>
      <c r="P112" s="10" t="e">
        <f t="shared" ref="P112" si="537">ABS(O112-O113)</f>
        <v>#VALUE!</v>
      </c>
      <c r="Q112" s="151" t="str">
        <f t="shared" ref="Q112" si="538">IF(T112="","",IF(OR(V112="менее 1,00 мкг/кг",V112="менее 2,5 мкг/кг",V112="менее 0,16 мкг/кг",V112="более 32,00 мкг/кг",V112="более 160,0 мкг/кг",V112="более 8,00 мкг/кг"),"",IF(0.01*T112*P113&gt;P112,"приемлемы","неприемлемы")))</f>
        <v/>
      </c>
      <c r="R112" s="102" t="str">
        <f t="shared" ref="R112" si="539">IF(O112="","",IF(OR(D112="мясо, рыба, субпродукты",D112="молочная сыворотка, творог, сыр, масло, сливки, кисломолочные продукты, мороженное"),ROUND(AVERAGE(O112:O113),1),ROUND(AVERAGE(O112:O113),2)))</f>
        <v/>
      </c>
      <c r="S112" s="102" t="str">
        <f t="shared" ref="S112" si="540">IF(OR(I112="",I113=""),"",IF(OR(V112="менее 1,00 мкг/кг",V112="менее 2,5 мкг/кг",V112="менее 0,16 мкг/кг",V112="более 32,00 мкг/кг",V112="более 160,0 мкг/кг",V112="более 8,00 мкг/кг"),"",ROUND(0.01*T112*VLOOKUP(D112,$Z$3:$AC$6,3,FALSE),2)))</f>
        <v/>
      </c>
      <c r="T112" s="158" t="str">
        <f t="shared" ref="T112" si="541">IF(OR(I112="",I113=""),"",IF(OR(V112="менее 1,00 мкг/кг",V112="менее 2,5 мкг/кг",V112="менее 0,16 мкг/кг",V112="более 32,00 мкг/кг",V112="более 160,0 мкг/кг",V112="более 8,00 мкг/кг"),"",IF(OR(D112="молоко, сухое молоко, детское питание",D112="молоко сгущенное"),TEXT(R112,"0,00"),TEXT(R113,"0,0"))))</f>
        <v/>
      </c>
      <c r="U112" s="155" t="str">
        <f t="shared" si="421"/>
        <v/>
      </c>
      <c r="V112" s="145" t="str">
        <f t="shared" ref="V112" si="542">IF(I112="","",IF(AND(D112="мясо, рыба, субпродукты",OR(R112&lt;2.5,I112&gt;=$I$22,I113&gt;=$I$22)),"менее 2,5 мкг/кг",IF(AND(D112="мясо, рыба, субпродукты",R112&gt;160,R112&lt;&gt;""),"более 160,0 мкг/кг",IF(AND(D112="молоко сгущенное",OR(R112&lt;1,I112&gt;=$I$22,I113&gt;=$I$22)),"менее 1,00 мкг/кг",IF(AND(D112="молоко сгущенное",R112&gt;32,R112&lt;&gt;""),"более 32,00 мкг/кг",IF(AND(D112="молоко, сухое молоко, детское питание",OR(R112&lt;0.16,I112&gt;=$I$22,I113&gt;=$I$22)),"менее 0,16 мкг/кг",IF(AND(D112="молоко, сухое молоко, детское питание",R112&gt;8,R112&lt;&gt;""),"более 8,00 мкг/кг",IF(AND(D112="молочная сыворотка, творог, сыр, масло, сливки, кисломолочные продукты, мороженное",OR(R112&lt;2.5,I112&gt;=$I$22,I113&gt;=$I$22)),"менее 2,5 мкг/кг",IF(AND(D112="молочная сыворотка, творог, сыр, масло, сливки, кисломолочные продукты, мороженное",R112&gt;160,R112&lt;&gt;""),"более 160,0 мкг/кг","соответствует")))))))))</f>
        <v/>
      </c>
    </row>
    <row r="113" spans="1:22" ht="15.75" customHeight="1" thickTop="1" thickBot="1">
      <c r="A113" s="157"/>
      <c r="B113" s="164"/>
      <c r="C113" s="164"/>
      <c r="D113" s="154"/>
      <c r="E113" s="154"/>
      <c r="F113" s="79"/>
      <c r="G113" s="111"/>
      <c r="H113" s="148"/>
      <c r="I113" s="86"/>
      <c r="J113" s="93" t="str">
        <f t="shared" si="430"/>
        <v/>
      </c>
      <c r="K113" s="94" t="str">
        <f t="shared" si="423"/>
        <v/>
      </c>
      <c r="L113" s="94"/>
      <c r="M113" s="41" t="str">
        <f t="shared" si="424"/>
        <v/>
      </c>
      <c r="N113" s="150" t="str">
        <f t="shared" ref="N113" si="543">IF(I113=M113,"0,0%",STDEV(I113:M113)/AVERAGE(I113:M113))</f>
        <v>0,0%</v>
      </c>
      <c r="O113" s="41" t="str">
        <f t="shared" ref="O113" si="544">IF(M113="","",10^((M113-INTERCEPT($M$11:$M$16,$J$11:$J$16))/SLOPE($M$11:$M$16,$J$11:$J$16))*H112)</f>
        <v/>
      </c>
      <c r="P113" s="11" t="e">
        <f>VLOOKUP(D112,$Z$3:$AC$6,2,FALSE)</f>
        <v>#N/A</v>
      </c>
      <c r="Q113" s="152"/>
      <c r="R113" s="105" t="str">
        <f t="shared" ref="R113" si="545">IF(O112="","",IF(OR(D112="мясо, рыба, субпродукты",D112="молочная сыворотка, творог, сыр, масло, сливки, кисломолочные продукты, мороженное"),ROUND(AVERAGE(O112:O113),1),ROUND(AVERAGE(O112:O113),1)))</f>
        <v/>
      </c>
      <c r="S113" s="103" t="str">
        <f t="shared" ref="S113" si="546">IF(OR(I112="",I113=""),"",IF(OR(V112="менее 1,00 мкг/кг",V112="менее 2,5 мкг/кг",V112="менее 0,16 мкг/кг",V112="более 32,00 мкг/кг",V112="более 160,0 мкг/кг",V112="более 8,00 мкг/кг"),"",ROUND(0.01*T112*VLOOKUP(D112,$Z$3:$AC$6,3,FALSE),1)))</f>
        <v/>
      </c>
      <c r="T113" s="159"/>
      <c r="U113" s="156"/>
      <c r="V113" s="146"/>
    </row>
    <row r="114" spans="1:22" ht="15.75" customHeight="1" thickTop="1" thickBot="1">
      <c r="A114" s="129">
        <v>43</v>
      </c>
      <c r="B114" s="164"/>
      <c r="C114" s="164"/>
      <c r="D114" s="154"/>
      <c r="E114" s="154"/>
      <c r="F114" s="77"/>
      <c r="G114" s="110"/>
      <c r="H114" s="147" t="str">
        <f t="shared" ref="H114" si="547">IF(D114="","",VLOOKUP(D114,$Z$3:$AC$6,4,FALSE))</f>
        <v/>
      </c>
      <c r="I114" s="86"/>
      <c r="J114" s="93" t="str">
        <f t="shared" si="430"/>
        <v/>
      </c>
      <c r="K114" s="94" t="str">
        <f t="shared" si="423"/>
        <v/>
      </c>
      <c r="L114" s="94"/>
      <c r="M114" s="41" t="str">
        <f t="shared" si="424"/>
        <v/>
      </c>
      <c r="N114" s="149" t="str">
        <f t="shared" ref="N114" si="548">IF(OR(I115="",I114=""),"",IF(M114="","",STDEV(J114:J115)/AVERAGE(J114:J115)))</f>
        <v/>
      </c>
      <c r="O114" s="41" t="str">
        <f t="shared" ref="O114" si="549">IF(M114="","",10^((M114-INTERCEPT($M$11:$M$16,$J$11:$J$16))/SLOPE($M$11:$M$16,$J$11:$J$16))*H114)</f>
        <v/>
      </c>
      <c r="P114" s="10" t="e">
        <f t="shared" ref="P114" si="550">ABS(O114-O115)</f>
        <v>#VALUE!</v>
      </c>
      <c r="Q114" s="151" t="str">
        <f t="shared" ref="Q114" si="551">IF(T114="","",IF(OR(V114="менее 1,00 мкг/кг",V114="менее 2,5 мкг/кг",V114="менее 0,16 мкг/кг",V114="более 32,00 мкг/кг",V114="более 160,0 мкг/кг",V114="более 8,00 мкг/кг"),"",IF(0.01*T114*P115&gt;P114,"приемлемы","неприемлемы")))</f>
        <v/>
      </c>
      <c r="R114" s="102" t="str">
        <f t="shared" ref="R114" si="552">IF(O114="","",IF(OR(D114="мясо, рыба, субпродукты",D114="молочная сыворотка, творог, сыр, масло, сливки, кисломолочные продукты, мороженное"),ROUND(AVERAGE(O114:O115),1),ROUND(AVERAGE(O114:O115),2)))</f>
        <v/>
      </c>
      <c r="S114" s="102" t="str">
        <f t="shared" ref="S114" si="553">IF(OR(I114="",I115=""),"",IF(OR(V114="менее 1,00 мкг/кг",V114="менее 2,5 мкг/кг",V114="менее 0,16 мкг/кг",V114="более 32,00 мкг/кг",V114="более 160,0 мкг/кг",V114="более 8,00 мкг/кг"),"",ROUND(0.01*T114*VLOOKUP(D114,$Z$3:$AC$6,3,FALSE),2)))</f>
        <v/>
      </c>
      <c r="T114" s="158" t="str">
        <f t="shared" ref="T114" si="554">IF(OR(I114="",I115=""),"",IF(OR(V114="менее 1,00 мкг/кг",V114="менее 2,5 мкг/кг",V114="менее 0,16 мкг/кг",V114="более 32,00 мкг/кг",V114="более 160,0 мкг/кг",V114="более 8,00 мкг/кг"),"",IF(OR(D114="молоко, сухое молоко, детское питание",D114="молоко сгущенное"),TEXT(R114,"0,00"),TEXT(R115,"0,0"))))</f>
        <v/>
      </c>
      <c r="U114" s="155" t="str">
        <f t="shared" si="421"/>
        <v/>
      </c>
      <c r="V114" s="145" t="str">
        <f t="shared" ref="V114" si="555">IF(I114="","",IF(AND(D114="мясо, рыба, субпродукты",OR(R114&lt;2.5,I114&gt;=$I$22,I115&gt;=$I$22)),"менее 2,5 мкг/кг",IF(AND(D114="мясо, рыба, субпродукты",R114&gt;160,R114&lt;&gt;""),"более 160,0 мкг/кг",IF(AND(D114="молоко сгущенное",OR(R114&lt;1,I114&gt;=$I$22,I115&gt;=$I$22)),"менее 1,00 мкг/кг",IF(AND(D114="молоко сгущенное",R114&gt;32,R114&lt;&gt;""),"более 32,00 мкг/кг",IF(AND(D114="молоко, сухое молоко, детское питание",OR(R114&lt;0.16,I114&gt;=$I$22,I115&gt;=$I$22)),"менее 0,16 мкг/кг",IF(AND(D114="молоко, сухое молоко, детское питание",R114&gt;8,R114&lt;&gt;""),"более 8,00 мкг/кг",IF(AND(D114="молочная сыворотка, творог, сыр, масло, сливки, кисломолочные продукты, мороженное",OR(R114&lt;2.5,I114&gt;=$I$22,I115&gt;=$I$22)),"менее 2,5 мкг/кг",IF(AND(D114="молочная сыворотка, творог, сыр, масло, сливки, кисломолочные продукты, мороженное",R114&gt;160,R114&lt;&gt;""),"более 160,0 мкг/кг","соответствует")))))))))</f>
        <v/>
      </c>
    </row>
    <row r="115" spans="1:22" ht="15.75" customHeight="1" thickTop="1" thickBot="1">
      <c r="A115" s="157"/>
      <c r="B115" s="164"/>
      <c r="C115" s="164"/>
      <c r="D115" s="154"/>
      <c r="E115" s="154"/>
      <c r="F115" s="79"/>
      <c r="G115" s="111"/>
      <c r="H115" s="148"/>
      <c r="I115" s="86"/>
      <c r="J115" s="93" t="str">
        <f t="shared" si="430"/>
        <v/>
      </c>
      <c r="K115" s="94" t="str">
        <f t="shared" si="423"/>
        <v/>
      </c>
      <c r="L115" s="94"/>
      <c r="M115" s="41" t="str">
        <f t="shared" si="424"/>
        <v/>
      </c>
      <c r="N115" s="150" t="str">
        <f t="shared" ref="N115" si="556">IF(I115=M115,"0,0%",STDEV(I115:M115)/AVERAGE(I115:M115))</f>
        <v>0,0%</v>
      </c>
      <c r="O115" s="41" t="str">
        <f t="shared" ref="O115" si="557">IF(M115="","",10^((M115-INTERCEPT($M$11:$M$16,$J$11:$J$16))/SLOPE($M$11:$M$16,$J$11:$J$16))*H114)</f>
        <v/>
      </c>
      <c r="P115" s="11" t="e">
        <f>VLOOKUP(D114,$Z$3:$AC$6,2,FALSE)</f>
        <v>#N/A</v>
      </c>
      <c r="Q115" s="152"/>
      <c r="R115" s="105" t="str">
        <f t="shared" ref="R115" si="558">IF(O114="","",IF(OR(D114="мясо, рыба, субпродукты",D114="молочная сыворотка, творог, сыр, масло, сливки, кисломолочные продукты, мороженное"),ROUND(AVERAGE(O114:O115),1),ROUND(AVERAGE(O114:O115),1)))</f>
        <v/>
      </c>
      <c r="S115" s="103" t="str">
        <f t="shared" ref="S115" si="559">IF(OR(I114="",I115=""),"",IF(OR(V114="менее 1,00 мкг/кг",V114="менее 2,5 мкг/кг",V114="менее 0,16 мкг/кг",V114="более 32,00 мкг/кг",V114="более 160,0 мкг/кг",V114="более 8,00 мкг/кг"),"",ROUND(0.01*T114*VLOOKUP(D114,$Z$3:$AC$6,3,FALSE),1)))</f>
        <v/>
      </c>
      <c r="T115" s="159"/>
      <c r="U115" s="156"/>
      <c r="V115" s="146"/>
    </row>
    <row r="116" spans="1:22" ht="15.75" customHeight="1" thickTop="1" thickBot="1">
      <c r="A116" s="129">
        <v>44</v>
      </c>
      <c r="B116" s="164"/>
      <c r="C116" s="164"/>
      <c r="D116" s="154"/>
      <c r="E116" s="154"/>
      <c r="F116" s="77"/>
      <c r="G116" s="110"/>
      <c r="H116" s="147" t="str">
        <f t="shared" ref="H116" si="560">IF(D116="","",VLOOKUP(D116,$Z$3:$AC$6,4,FALSE))</f>
        <v/>
      </c>
      <c r="I116" s="86"/>
      <c r="J116" s="93" t="str">
        <f t="shared" si="430"/>
        <v/>
      </c>
      <c r="K116" s="94" t="str">
        <f t="shared" si="423"/>
        <v/>
      </c>
      <c r="L116" s="94"/>
      <c r="M116" s="41" t="str">
        <f t="shared" si="424"/>
        <v/>
      </c>
      <c r="N116" s="149" t="str">
        <f t="shared" ref="N116" si="561">IF(OR(I117="",I116=""),"",IF(M116="","",STDEV(J116:J117)/AVERAGE(J116:J117)))</f>
        <v/>
      </c>
      <c r="O116" s="41" t="str">
        <f t="shared" ref="O116" si="562">IF(M116="","",10^((M116-INTERCEPT($M$11:$M$16,$J$11:$J$16))/SLOPE($M$11:$M$16,$J$11:$J$16))*H116)</f>
        <v/>
      </c>
      <c r="P116" s="10" t="e">
        <f t="shared" ref="P116" si="563">ABS(O116-O117)</f>
        <v>#VALUE!</v>
      </c>
      <c r="Q116" s="151" t="str">
        <f t="shared" ref="Q116" si="564">IF(T116="","",IF(OR(V116="менее 1,00 мкг/кг",V116="менее 2,5 мкг/кг",V116="менее 0,16 мкг/кг",V116="более 32,00 мкг/кг",V116="более 160,0 мкг/кг",V116="более 8,00 мкг/кг"),"",IF(0.01*T116*P117&gt;P116,"приемлемы","неприемлемы")))</f>
        <v/>
      </c>
      <c r="R116" s="102" t="str">
        <f t="shared" ref="R116" si="565">IF(O116="","",IF(OR(D116="мясо, рыба, субпродукты",D116="молочная сыворотка, творог, сыр, масло, сливки, кисломолочные продукты, мороженное"),ROUND(AVERAGE(O116:O117),1),ROUND(AVERAGE(O116:O117),2)))</f>
        <v/>
      </c>
      <c r="S116" s="102" t="str">
        <f t="shared" ref="S116" si="566">IF(OR(I116="",I117=""),"",IF(OR(V116="менее 1,00 мкг/кг",V116="менее 2,5 мкг/кг",V116="менее 0,16 мкг/кг",V116="более 32,00 мкг/кг",V116="более 160,0 мкг/кг",V116="более 8,00 мкг/кг"),"",ROUND(0.01*T116*VLOOKUP(D116,$Z$3:$AC$6,3,FALSE),2)))</f>
        <v/>
      </c>
      <c r="T116" s="158" t="str">
        <f t="shared" ref="T116" si="567">IF(OR(I116="",I117=""),"",IF(OR(V116="менее 1,00 мкг/кг",V116="менее 2,5 мкг/кг",V116="менее 0,16 мкг/кг",V116="более 32,00 мкг/кг",V116="более 160,0 мкг/кг",V116="более 8,00 мкг/кг"),"",IF(OR(D116="молоко, сухое молоко, детское питание",D116="молоко сгущенное"),TEXT(R116,"0,00"),TEXT(R117,"0,0"))))</f>
        <v/>
      </c>
      <c r="U116" s="155" t="str">
        <f t="shared" si="421"/>
        <v/>
      </c>
      <c r="V116" s="145" t="str">
        <f t="shared" ref="V116" si="568">IF(I116="","",IF(AND(D116="мясо, рыба, субпродукты",OR(R116&lt;2.5,I116&gt;=$I$22,I117&gt;=$I$22)),"менее 2,5 мкг/кг",IF(AND(D116="мясо, рыба, субпродукты",R116&gt;160,R116&lt;&gt;""),"более 160,0 мкг/кг",IF(AND(D116="молоко сгущенное",OR(R116&lt;1,I116&gt;=$I$22,I117&gt;=$I$22)),"менее 1,00 мкг/кг",IF(AND(D116="молоко сгущенное",R116&gt;32,R116&lt;&gt;""),"более 32,00 мкг/кг",IF(AND(D116="молоко, сухое молоко, детское питание",OR(R116&lt;0.16,I116&gt;=$I$22,I117&gt;=$I$22)),"менее 0,16 мкг/кг",IF(AND(D116="молоко, сухое молоко, детское питание",R116&gt;8,R116&lt;&gt;""),"более 8,00 мкг/кг",IF(AND(D116="молочная сыворотка, творог, сыр, масло, сливки, кисломолочные продукты, мороженное",OR(R116&lt;2.5,I116&gt;=$I$22,I117&gt;=$I$22)),"менее 2,5 мкг/кг",IF(AND(D116="молочная сыворотка, творог, сыр, масло, сливки, кисломолочные продукты, мороженное",R116&gt;160,R116&lt;&gt;""),"более 160,0 мкг/кг","соответствует")))))))))</f>
        <v/>
      </c>
    </row>
    <row r="117" spans="1:22" ht="15.75" customHeight="1" thickTop="1" thickBot="1">
      <c r="A117" s="157"/>
      <c r="B117" s="164"/>
      <c r="C117" s="164"/>
      <c r="D117" s="154"/>
      <c r="E117" s="154"/>
      <c r="F117" s="79"/>
      <c r="G117" s="111"/>
      <c r="H117" s="148"/>
      <c r="I117" s="86"/>
      <c r="J117" s="93" t="str">
        <f t="shared" si="430"/>
        <v/>
      </c>
      <c r="K117" s="94" t="str">
        <f t="shared" si="423"/>
        <v/>
      </c>
      <c r="L117" s="94"/>
      <c r="M117" s="41" t="str">
        <f t="shared" si="424"/>
        <v/>
      </c>
      <c r="N117" s="150" t="str">
        <f t="shared" ref="N117" si="569">IF(I117=M117,"0,0%",STDEV(I117:M117)/AVERAGE(I117:M117))</f>
        <v>0,0%</v>
      </c>
      <c r="O117" s="41" t="str">
        <f t="shared" ref="O117" si="570">IF(M117="","",10^((M117-INTERCEPT($M$11:$M$16,$J$11:$J$16))/SLOPE($M$11:$M$16,$J$11:$J$16))*H116)</f>
        <v/>
      </c>
      <c r="P117" s="11" t="e">
        <f>VLOOKUP(D116,$Z$3:$AC$6,2,FALSE)</f>
        <v>#N/A</v>
      </c>
      <c r="Q117" s="152"/>
      <c r="R117" s="105" t="str">
        <f t="shared" ref="R117" si="571">IF(O116="","",IF(OR(D116="мясо, рыба, субпродукты",D116="молочная сыворотка, творог, сыр, масло, сливки, кисломолочные продукты, мороженное"),ROUND(AVERAGE(O116:O117),1),ROUND(AVERAGE(O116:O117),1)))</f>
        <v/>
      </c>
      <c r="S117" s="103" t="str">
        <f t="shared" ref="S117" si="572">IF(OR(I116="",I117=""),"",IF(OR(V116="менее 1,00 мкг/кг",V116="менее 2,5 мкг/кг",V116="менее 0,16 мкг/кг",V116="более 32,00 мкг/кг",V116="более 160,0 мкг/кг",V116="более 8,00 мкг/кг"),"",ROUND(0.01*T116*VLOOKUP(D116,$Z$3:$AC$6,3,FALSE),1)))</f>
        <v/>
      </c>
      <c r="T117" s="159"/>
      <c r="U117" s="156"/>
      <c r="V117" s="146"/>
    </row>
    <row r="118" spans="1:22" ht="15.75" customHeight="1" thickTop="1" thickBot="1">
      <c r="A118" s="129">
        <v>45</v>
      </c>
      <c r="B118" s="164"/>
      <c r="C118" s="164"/>
      <c r="D118" s="160"/>
      <c r="E118" s="161"/>
      <c r="F118" s="77"/>
      <c r="G118" s="110"/>
      <c r="H118" s="147" t="str">
        <f t="shared" ref="H118" si="573">IF(D118="","",VLOOKUP(D118,$Z$3:$AC$6,4,FALSE))</f>
        <v/>
      </c>
      <c r="I118" s="86"/>
      <c r="J118" s="93" t="str">
        <f t="shared" si="430"/>
        <v/>
      </c>
      <c r="K118" s="94" t="str">
        <f t="shared" si="423"/>
        <v/>
      </c>
      <c r="L118" s="94"/>
      <c r="M118" s="41" t="str">
        <f t="shared" si="424"/>
        <v/>
      </c>
      <c r="N118" s="149" t="str">
        <f t="shared" ref="N118" si="574">IF(OR(I119="",I118=""),"",IF(M118="","",STDEV(J118:J119)/AVERAGE(J118:J119)))</f>
        <v/>
      </c>
      <c r="O118" s="41" t="str">
        <f t="shared" ref="O118" si="575">IF(M118="","",10^((M118-INTERCEPT($M$11:$M$16,$J$11:$J$16))/SLOPE($M$11:$M$16,$J$11:$J$16))*H118)</f>
        <v/>
      </c>
      <c r="P118" s="10" t="e">
        <f t="shared" ref="P118" si="576">ABS(O118-O119)</f>
        <v>#VALUE!</v>
      </c>
      <c r="Q118" s="151" t="str">
        <f t="shared" ref="Q118" si="577">IF(T118="","",IF(OR(V118="менее 1,00 мкг/кг",V118="менее 2,5 мкг/кг",V118="менее 0,16 мкг/кг",V118="более 32,00 мкг/кг",V118="более 160,0 мкг/кг",V118="более 8,00 мкг/кг"),"",IF(0.01*T118*P119&gt;P118,"приемлемы","неприемлемы")))</f>
        <v/>
      </c>
      <c r="R118" s="102" t="str">
        <f t="shared" ref="R118" si="578">IF(O118="","",IF(OR(D118="мясо, рыба, субпродукты",D118="молочная сыворотка, творог, сыр, масло, сливки, кисломолочные продукты, мороженное"),ROUND(AVERAGE(O118:O119),1),ROUND(AVERAGE(O118:O119),2)))</f>
        <v/>
      </c>
      <c r="S118" s="102" t="str">
        <f t="shared" ref="S118" si="579">IF(OR(I118="",I119=""),"",IF(OR(V118="менее 1,00 мкг/кг",V118="менее 2,5 мкг/кг",V118="менее 0,16 мкг/кг",V118="более 32,00 мкг/кг",V118="более 160,0 мкг/кг",V118="более 8,00 мкг/кг"),"",ROUND(0.01*T118*VLOOKUP(D118,$Z$3:$AC$6,3,FALSE),2)))</f>
        <v/>
      </c>
      <c r="T118" s="158" t="str">
        <f t="shared" ref="T118" si="580">IF(OR(I118="",I119=""),"",IF(OR(V118="менее 1,00 мкг/кг",V118="менее 2,5 мкг/кг",V118="менее 0,16 мкг/кг",V118="более 32,00 мкг/кг",V118="более 160,0 мкг/кг",V118="более 8,00 мкг/кг"),"",IF(OR(D118="молоко, сухое молоко, детское питание",D118="молоко сгущенное"),TEXT(R118,"0,00"),TEXT(R119,"0,0"))))</f>
        <v/>
      </c>
      <c r="U118" s="155" t="str">
        <f t="shared" si="421"/>
        <v/>
      </c>
      <c r="V118" s="145" t="str">
        <f t="shared" ref="V118" si="581">IF(I118="","",IF(AND(D118="мясо, рыба, субпродукты",OR(R118&lt;2.5,I118&gt;=$I$22,I119&gt;=$I$22)),"менее 2,5 мкг/кг",IF(AND(D118="мясо, рыба, субпродукты",R118&gt;160,R118&lt;&gt;""),"более 160,0 мкг/кг",IF(AND(D118="молоко сгущенное",OR(R118&lt;1,I118&gt;=$I$22,I119&gt;=$I$22)),"менее 1,00 мкг/кг",IF(AND(D118="молоко сгущенное",R118&gt;32,R118&lt;&gt;""),"более 32,00 мкг/кг",IF(AND(D118="молоко, сухое молоко, детское питание",OR(R118&lt;0.16,I118&gt;=$I$22,I119&gt;=$I$22)),"менее 0,16 мкг/кг",IF(AND(D118="молоко, сухое молоко, детское питание",R118&gt;8,R118&lt;&gt;""),"более 8,00 мкг/кг",IF(AND(D118="молочная сыворотка, творог, сыр, масло, сливки, кисломолочные продукты, мороженное",OR(R118&lt;2.5,I118&gt;=$I$22,I119&gt;=$I$22)),"менее 2,5 мкг/кг",IF(AND(D118="молочная сыворотка, творог, сыр, масло, сливки, кисломолочные продукты, мороженное",R118&gt;160,R118&lt;&gt;""),"более 160,0 мкг/кг","соответствует")))))))))</f>
        <v/>
      </c>
    </row>
    <row r="119" spans="1:22" ht="15.75" customHeight="1" thickTop="1" thickBot="1">
      <c r="A119" s="157"/>
      <c r="B119" s="164"/>
      <c r="C119" s="164"/>
      <c r="D119" s="162"/>
      <c r="E119" s="163"/>
      <c r="F119" s="79"/>
      <c r="G119" s="111"/>
      <c r="H119" s="148"/>
      <c r="I119" s="86"/>
      <c r="J119" s="93" t="str">
        <f t="shared" si="430"/>
        <v/>
      </c>
      <c r="K119" s="94" t="str">
        <f t="shared" si="423"/>
        <v/>
      </c>
      <c r="L119" s="94"/>
      <c r="M119" s="41" t="str">
        <f t="shared" si="424"/>
        <v/>
      </c>
      <c r="N119" s="150" t="str">
        <f t="shared" ref="N119" si="582">IF(I119=M119,"0,0%",STDEV(I119:M119)/AVERAGE(I119:M119))</f>
        <v>0,0%</v>
      </c>
      <c r="O119" s="41" t="str">
        <f t="shared" ref="O119" si="583">IF(M119="","",10^((M119-INTERCEPT($M$11:$M$16,$J$11:$J$16))/SLOPE($M$11:$M$16,$J$11:$J$16))*H118)</f>
        <v/>
      </c>
      <c r="P119" s="11" t="e">
        <f>VLOOKUP(D118,$Z$3:$AC$6,2,FALSE)</f>
        <v>#N/A</v>
      </c>
      <c r="Q119" s="152"/>
      <c r="R119" s="105" t="str">
        <f t="shared" ref="R119" si="584">IF(O118="","",IF(OR(D118="мясо, рыба, субпродукты",D118="молочная сыворотка, творог, сыр, масло, сливки, кисломолочные продукты, мороженное"),ROUND(AVERAGE(O118:O119),1),ROUND(AVERAGE(O118:O119),1)))</f>
        <v/>
      </c>
      <c r="S119" s="103" t="str">
        <f t="shared" ref="S119" si="585">IF(OR(I118="",I119=""),"",IF(OR(V118="менее 1,00 мкг/кг",V118="менее 2,5 мкг/кг",V118="менее 0,16 мкг/кг",V118="более 32,00 мкг/кг",V118="более 160,0 мкг/кг",V118="более 8,00 мкг/кг"),"",ROUND(0.01*T118*VLOOKUP(D118,$Z$3:$AC$6,3,FALSE),1)))</f>
        <v/>
      </c>
      <c r="T119" s="159"/>
      <c r="U119" s="156"/>
      <c r="V119" s="146"/>
    </row>
    <row r="120" spans="1:22" ht="15.75" customHeight="1" thickTop="1" thickBot="1">
      <c r="A120" s="129">
        <v>46</v>
      </c>
      <c r="B120" s="164"/>
      <c r="C120" s="164"/>
      <c r="D120" s="154"/>
      <c r="E120" s="154"/>
      <c r="F120" s="77"/>
      <c r="G120" s="110"/>
      <c r="H120" s="147" t="str">
        <f t="shared" ref="H120" si="586">IF(D120="","",VLOOKUP(D120,$Z$3:$AC$6,4,FALSE))</f>
        <v/>
      </c>
      <c r="I120" s="86"/>
      <c r="J120" s="93" t="str">
        <f t="shared" si="430"/>
        <v/>
      </c>
      <c r="K120" s="94" t="str">
        <f t="shared" si="423"/>
        <v/>
      </c>
      <c r="L120" s="94"/>
      <c r="M120" s="41" t="str">
        <f t="shared" si="424"/>
        <v/>
      </c>
      <c r="N120" s="149" t="str">
        <f t="shared" ref="N120" si="587">IF(OR(I121="",I120=""),"",IF(M120="","",STDEV(J120:J121)/AVERAGE(J120:J121)))</f>
        <v/>
      </c>
      <c r="O120" s="41" t="str">
        <f t="shared" ref="O120" si="588">IF(M120="","",10^((M120-INTERCEPT($M$11:$M$16,$J$11:$J$16))/SLOPE($M$11:$M$16,$J$11:$J$16))*H120)</f>
        <v/>
      </c>
      <c r="P120" s="10" t="e">
        <f t="shared" ref="P120" si="589">ABS(O120-O121)</f>
        <v>#VALUE!</v>
      </c>
      <c r="Q120" s="151" t="str">
        <f t="shared" ref="Q120" si="590">IF(T120="","",IF(OR(V120="менее 1,00 мкг/кг",V120="менее 2,5 мкг/кг",V120="менее 0,16 мкг/кг",V120="более 32,00 мкг/кг",V120="более 160,0 мкг/кг",V120="более 8,00 мкг/кг"),"",IF(0.01*T120*P121&gt;P120,"приемлемы","неприемлемы")))</f>
        <v/>
      </c>
      <c r="R120" s="102" t="str">
        <f t="shared" ref="R120" si="591">IF(O120="","",IF(OR(D120="мясо, рыба, субпродукты",D120="молочная сыворотка, творог, сыр, масло, сливки, кисломолочные продукты, мороженное"),ROUND(AVERAGE(O120:O121),1),ROUND(AVERAGE(O120:O121),2)))</f>
        <v/>
      </c>
      <c r="S120" s="102" t="str">
        <f t="shared" ref="S120" si="592">IF(OR(I120="",I121=""),"",IF(OR(V120="менее 1,00 мкг/кг",V120="менее 2,5 мкг/кг",V120="менее 0,16 мкг/кг",V120="более 32,00 мкг/кг",V120="более 160,0 мкг/кг",V120="более 8,00 мкг/кг"),"",ROUND(0.01*T120*VLOOKUP(D120,$Z$3:$AC$6,3,FALSE),2)))</f>
        <v/>
      </c>
      <c r="T120" s="158" t="str">
        <f t="shared" ref="T120" si="593">IF(OR(I120="",I121=""),"",IF(OR(V120="менее 1,00 мкг/кг",V120="менее 2,5 мкг/кг",V120="менее 0,16 мкг/кг",V120="более 32,00 мкг/кг",V120="более 160,0 мкг/кг",V120="более 8,00 мкг/кг"),"",IF(OR(D120="молоко, сухое молоко, детское питание",D120="молоко сгущенное"),TEXT(R120,"0,00"),TEXT(R121,"0,0"))))</f>
        <v/>
      </c>
      <c r="U120" s="155" t="str">
        <f t="shared" si="421"/>
        <v/>
      </c>
      <c r="V120" s="145" t="str">
        <f t="shared" ref="V120" si="594">IF(I120="","",IF(AND(D120="мясо, рыба, субпродукты",OR(R120&lt;2.5,I120&gt;=$I$22,I121&gt;=$I$22)),"менее 2,5 мкг/кг",IF(AND(D120="мясо, рыба, субпродукты",R120&gt;160,R120&lt;&gt;""),"более 160,0 мкг/кг",IF(AND(D120="молоко сгущенное",OR(R120&lt;1,I120&gt;=$I$22,I121&gt;=$I$22)),"менее 1,00 мкг/кг",IF(AND(D120="молоко сгущенное",R120&gt;32,R120&lt;&gt;""),"более 32,00 мкг/кг",IF(AND(D120="молоко, сухое молоко, детское питание",OR(R120&lt;0.16,I120&gt;=$I$22,I121&gt;=$I$22)),"менее 0,16 мкг/кг",IF(AND(D120="молоко, сухое молоко, детское питание",R120&gt;8,R120&lt;&gt;""),"более 8,00 мкг/кг",IF(AND(D120="молочная сыворотка, творог, сыр, масло, сливки, кисломолочные продукты, мороженное",OR(R120&lt;2.5,I120&gt;=$I$22,I121&gt;=$I$22)),"менее 2,5 мкг/кг",IF(AND(D120="молочная сыворотка, творог, сыр, масло, сливки, кисломолочные продукты, мороженное",R120&gt;160,R120&lt;&gt;""),"более 160,0 мкг/кг","соответствует")))))))))</f>
        <v/>
      </c>
    </row>
    <row r="121" spans="1:22" ht="15.75" customHeight="1" thickTop="1" thickBot="1">
      <c r="A121" s="157"/>
      <c r="B121" s="164"/>
      <c r="C121" s="164"/>
      <c r="D121" s="154"/>
      <c r="E121" s="154"/>
      <c r="F121" s="79"/>
      <c r="G121" s="111"/>
      <c r="H121" s="148"/>
      <c r="I121" s="86"/>
      <c r="J121" s="93" t="str">
        <f t="shared" si="430"/>
        <v/>
      </c>
      <c r="K121" s="94" t="str">
        <f t="shared" si="423"/>
        <v/>
      </c>
      <c r="L121" s="94"/>
      <c r="M121" s="41" t="str">
        <f t="shared" si="424"/>
        <v/>
      </c>
      <c r="N121" s="150" t="str">
        <f t="shared" ref="N121" si="595">IF(I121=M121,"0,0%",STDEV(I121:M121)/AVERAGE(I121:M121))</f>
        <v>0,0%</v>
      </c>
      <c r="O121" s="41" t="str">
        <f t="shared" ref="O121" si="596">IF(M121="","",10^((M121-INTERCEPT($M$11:$M$16,$J$11:$J$16))/SLOPE($M$11:$M$16,$J$11:$J$16))*H120)</f>
        <v/>
      </c>
      <c r="P121" s="11" t="e">
        <f>VLOOKUP(D120,$Z$3:$AC$6,2,FALSE)</f>
        <v>#N/A</v>
      </c>
      <c r="Q121" s="152"/>
      <c r="R121" s="105" t="str">
        <f t="shared" ref="R121" si="597">IF(O120="","",IF(OR(D120="мясо, рыба, субпродукты",D120="молочная сыворотка, творог, сыр, масло, сливки, кисломолочные продукты, мороженное"),ROUND(AVERAGE(O120:O121),1),ROUND(AVERAGE(O120:O121),1)))</f>
        <v/>
      </c>
      <c r="S121" s="103" t="str">
        <f t="shared" ref="S121" si="598">IF(OR(I120="",I121=""),"",IF(OR(V120="менее 1,00 мкг/кг",V120="менее 2,5 мкг/кг",V120="менее 0,16 мкг/кг",V120="более 32,00 мкг/кг",V120="более 160,0 мкг/кг",V120="более 8,00 мкг/кг"),"",ROUND(0.01*T120*VLOOKUP(D120,$Z$3:$AC$6,3,FALSE),1)))</f>
        <v/>
      </c>
      <c r="T121" s="159"/>
      <c r="U121" s="156"/>
      <c r="V121" s="146"/>
    </row>
    <row r="122" spans="1:22" ht="15.75" customHeight="1" thickTop="1" thickBot="1">
      <c r="A122" s="129">
        <v>47</v>
      </c>
      <c r="B122" s="164"/>
      <c r="C122" s="164"/>
      <c r="D122" s="154"/>
      <c r="E122" s="154"/>
      <c r="F122" s="77"/>
      <c r="G122" s="110"/>
      <c r="H122" s="147" t="str">
        <f t="shared" ref="H122" si="599">IF(D122="","",VLOOKUP(D122,$Z$3:$AC$6,4,FALSE))</f>
        <v/>
      </c>
      <c r="I122" s="86"/>
      <c r="J122" s="93" t="str">
        <f t="shared" si="430"/>
        <v/>
      </c>
      <c r="K122" s="94" t="str">
        <f t="shared" si="423"/>
        <v/>
      </c>
      <c r="L122" s="94"/>
      <c r="M122" s="41" t="str">
        <f t="shared" si="424"/>
        <v/>
      </c>
      <c r="N122" s="149" t="str">
        <f t="shared" ref="N122" si="600">IF(OR(I123="",I122=""),"",IF(M122="","",STDEV(J122:J123)/AVERAGE(J122:J123)))</f>
        <v/>
      </c>
      <c r="O122" s="41" t="str">
        <f t="shared" ref="O122" si="601">IF(M122="","",10^((M122-INTERCEPT($M$11:$M$16,$J$11:$J$16))/SLOPE($M$11:$M$16,$J$11:$J$16))*H122)</f>
        <v/>
      </c>
      <c r="P122" s="10" t="e">
        <f t="shared" ref="P122" si="602">ABS(O122-O123)</f>
        <v>#VALUE!</v>
      </c>
      <c r="Q122" s="151" t="str">
        <f t="shared" ref="Q122" si="603">IF(T122="","",IF(OR(V122="менее 1,00 мкг/кг",V122="менее 2,5 мкг/кг",V122="менее 0,16 мкг/кг",V122="более 32,00 мкг/кг",V122="более 160,0 мкг/кг",V122="более 8,00 мкг/кг"),"",IF(0.01*T122*P123&gt;P122,"приемлемы","неприемлемы")))</f>
        <v/>
      </c>
      <c r="R122" s="102" t="str">
        <f t="shared" ref="R122" si="604">IF(O122="","",IF(OR(D122="мясо, рыба, субпродукты",D122="молочная сыворотка, творог, сыр, масло, сливки, кисломолочные продукты, мороженное"),ROUND(AVERAGE(O122:O123),1),ROUND(AVERAGE(O122:O123),2)))</f>
        <v/>
      </c>
      <c r="S122" s="102" t="str">
        <f t="shared" ref="S122" si="605">IF(OR(I122="",I123=""),"",IF(OR(V122="менее 1,00 мкг/кг",V122="менее 2,5 мкг/кг",V122="менее 0,16 мкг/кг",V122="более 32,00 мкг/кг",V122="более 160,0 мкг/кг",V122="более 8,00 мкг/кг"),"",ROUND(0.01*T122*VLOOKUP(D122,$Z$3:$AC$6,3,FALSE),2)))</f>
        <v/>
      </c>
      <c r="T122" s="158" t="str">
        <f t="shared" ref="T122" si="606">IF(OR(I122="",I123=""),"",IF(OR(V122="менее 1,00 мкг/кг",V122="менее 2,5 мкг/кг",V122="менее 0,16 мкг/кг",V122="более 32,00 мкг/кг",V122="более 160,0 мкг/кг",V122="более 8,00 мкг/кг"),"",IF(OR(D122="молоко, сухое молоко, детское питание",D122="молоко сгущенное"),TEXT(R122,"0,00"),TEXT(R123,"0,0"))))</f>
        <v/>
      </c>
      <c r="U122" s="155" t="str">
        <f t="shared" si="421"/>
        <v/>
      </c>
      <c r="V122" s="145" t="str">
        <f t="shared" ref="V122" si="607">IF(I122="","",IF(AND(D122="мясо, рыба, субпродукты",OR(R122&lt;2.5,I122&gt;=$I$22,I123&gt;=$I$22)),"менее 2,5 мкг/кг",IF(AND(D122="мясо, рыба, субпродукты",R122&gt;160,R122&lt;&gt;""),"более 160,0 мкг/кг",IF(AND(D122="молоко сгущенное",OR(R122&lt;1,I122&gt;=$I$22,I123&gt;=$I$22)),"менее 1,00 мкг/кг",IF(AND(D122="молоко сгущенное",R122&gt;32,R122&lt;&gt;""),"более 32,00 мкг/кг",IF(AND(D122="молоко, сухое молоко, детское питание",OR(R122&lt;0.16,I122&gt;=$I$22,I123&gt;=$I$22)),"менее 0,16 мкг/кг",IF(AND(D122="молоко, сухое молоко, детское питание",R122&gt;8,R122&lt;&gt;""),"более 8,00 мкг/кг",IF(AND(D122="молочная сыворотка, творог, сыр, масло, сливки, кисломолочные продукты, мороженное",OR(R122&lt;2.5,I122&gt;=$I$22,I123&gt;=$I$22)),"менее 2,5 мкг/кг",IF(AND(D122="молочная сыворотка, творог, сыр, масло, сливки, кисломолочные продукты, мороженное",R122&gt;160,R122&lt;&gt;""),"более 160,0 мкг/кг","соответствует")))))))))</f>
        <v/>
      </c>
    </row>
    <row r="123" spans="1:22" ht="15.75" customHeight="1" thickTop="1" thickBot="1">
      <c r="A123" s="157"/>
      <c r="B123" s="164"/>
      <c r="C123" s="164"/>
      <c r="D123" s="154"/>
      <c r="E123" s="154"/>
      <c r="F123" s="79"/>
      <c r="G123" s="111"/>
      <c r="H123" s="148"/>
      <c r="I123" s="86"/>
      <c r="J123" s="93" t="str">
        <f t="shared" si="430"/>
        <v/>
      </c>
      <c r="K123" s="94" t="str">
        <f t="shared" si="423"/>
        <v/>
      </c>
      <c r="L123" s="94"/>
      <c r="M123" s="41" t="str">
        <f t="shared" si="424"/>
        <v/>
      </c>
      <c r="N123" s="150" t="str">
        <f t="shared" ref="N123" si="608">IF(I123=M123,"0,0%",STDEV(I123:M123)/AVERAGE(I123:M123))</f>
        <v>0,0%</v>
      </c>
      <c r="O123" s="41" t="str">
        <f t="shared" ref="O123" si="609">IF(M123="","",10^((M123-INTERCEPT($M$11:$M$16,$J$11:$J$16))/SLOPE($M$11:$M$16,$J$11:$J$16))*H122)</f>
        <v/>
      </c>
      <c r="P123" s="11" t="e">
        <f>VLOOKUP(D122,$Z$3:$AC$6,2,FALSE)</f>
        <v>#N/A</v>
      </c>
      <c r="Q123" s="152"/>
      <c r="R123" s="105" t="str">
        <f t="shared" ref="R123" si="610">IF(O122="","",IF(OR(D122="мясо, рыба, субпродукты",D122="молочная сыворотка, творог, сыр, масло, сливки, кисломолочные продукты, мороженное"),ROUND(AVERAGE(O122:O123),1),ROUND(AVERAGE(O122:O123),1)))</f>
        <v/>
      </c>
      <c r="S123" s="103" t="str">
        <f t="shared" ref="S123" si="611">IF(OR(I122="",I123=""),"",IF(OR(V122="менее 1,00 мкг/кг",V122="менее 2,5 мкг/кг",V122="менее 0,16 мкг/кг",V122="более 32,00 мкг/кг",V122="более 160,0 мкг/кг",V122="более 8,00 мкг/кг"),"",ROUND(0.01*T122*VLOOKUP(D122,$Z$3:$AC$6,3,FALSE),1)))</f>
        <v/>
      </c>
      <c r="T123" s="159"/>
      <c r="U123" s="156"/>
      <c r="V123" s="146"/>
    </row>
    <row r="124" spans="1:22" ht="15.75" customHeight="1" thickTop="1" thickBot="1">
      <c r="A124" s="129">
        <v>48</v>
      </c>
      <c r="B124" s="164"/>
      <c r="C124" s="164"/>
      <c r="D124" s="154"/>
      <c r="E124" s="154"/>
      <c r="F124" s="77"/>
      <c r="G124" s="110"/>
      <c r="H124" s="147" t="str">
        <f t="shared" ref="H124" si="612">IF(D124="","",VLOOKUP(D124,$Z$3:$AC$6,4,FALSE))</f>
        <v/>
      </c>
      <c r="I124" s="86"/>
      <c r="J124" s="93" t="str">
        <f t="shared" si="430"/>
        <v/>
      </c>
      <c r="K124" s="94" t="str">
        <f t="shared" si="423"/>
        <v/>
      </c>
      <c r="L124" s="94"/>
      <c r="M124" s="41" t="str">
        <f t="shared" si="424"/>
        <v/>
      </c>
      <c r="N124" s="149" t="str">
        <f t="shared" ref="N124" si="613">IF(OR(I125="",I124=""),"",IF(M124="","",STDEV(J124:J125)/AVERAGE(J124:J125)))</f>
        <v/>
      </c>
      <c r="O124" s="41" t="str">
        <f t="shared" ref="O124" si="614">IF(M124="","",10^((M124-INTERCEPT($M$11:$M$16,$J$11:$J$16))/SLOPE($M$11:$M$16,$J$11:$J$16))*H124)</f>
        <v/>
      </c>
      <c r="P124" s="10" t="e">
        <f t="shared" ref="P124" si="615">ABS(O124-O125)</f>
        <v>#VALUE!</v>
      </c>
      <c r="Q124" s="151" t="str">
        <f t="shared" ref="Q124" si="616">IF(T124="","",IF(OR(V124="менее 1,00 мкг/кг",V124="менее 2,5 мкг/кг",V124="менее 0,16 мкг/кг",V124="более 32,00 мкг/кг",V124="более 160,0 мкг/кг",V124="более 8,00 мкг/кг"),"",IF(0.01*T124*P125&gt;P124,"приемлемы","неприемлемы")))</f>
        <v/>
      </c>
      <c r="R124" s="102" t="str">
        <f t="shared" ref="R124" si="617">IF(O124="","",IF(OR(D124="мясо, рыба, субпродукты",D124="молочная сыворотка, творог, сыр, масло, сливки, кисломолочные продукты, мороженное"),ROUND(AVERAGE(O124:O125),1),ROUND(AVERAGE(O124:O125),2)))</f>
        <v/>
      </c>
      <c r="S124" s="102" t="str">
        <f t="shared" ref="S124" si="618">IF(OR(I124="",I125=""),"",IF(OR(V124="менее 1,00 мкг/кг",V124="менее 2,5 мкг/кг",V124="менее 0,16 мкг/кг",V124="более 32,00 мкг/кг",V124="более 160,0 мкг/кг",V124="более 8,00 мкг/кг"),"",ROUND(0.01*T124*VLOOKUP(D124,$Z$3:$AC$6,3,FALSE),2)))</f>
        <v/>
      </c>
      <c r="T124" s="158" t="str">
        <f t="shared" ref="T124" si="619">IF(OR(I124="",I125=""),"",IF(OR(V124="менее 1,00 мкг/кг",V124="менее 2,5 мкг/кг",V124="менее 0,16 мкг/кг",V124="более 32,00 мкг/кг",V124="более 160,0 мкг/кг",V124="более 8,00 мкг/кг"),"",IF(OR(D124="молоко, сухое молоко, детское питание",D124="молоко сгущенное"),TEXT(R124,"0,00"),TEXT(R125,"0,0"))))</f>
        <v/>
      </c>
      <c r="U124" s="155" t="str">
        <f t="shared" si="421"/>
        <v/>
      </c>
      <c r="V124" s="145" t="str">
        <f t="shared" ref="V124" si="620">IF(I124="","",IF(AND(D124="мясо, рыба, субпродукты",OR(R124&lt;2.5,I124&gt;=$I$22,I125&gt;=$I$22)),"менее 2,5 мкг/кг",IF(AND(D124="мясо, рыба, субпродукты",R124&gt;160,R124&lt;&gt;""),"более 160,0 мкг/кг",IF(AND(D124="молоко сгущенное",OR(R124&lt;1,I124&gt;=$I$22,I125&gt;=$I$22)),"менее 1,00 мкг/кг",IF(AND(D124="молоко сгущенное",R124&gt;32,R124&lt;&gt;""),"более 32,00 мкг/кг",IF(AND(D124="молоко, сухое молоко, детское питание",OR(R124&lt;0.16,I124&gt;=$I$22,I125&gt;=$I$22)),"менее 0,16 мкг/кг",IF(AND(D124="молоко, сухое молоко, детское питание",R124&gt;8,R124&lt;&gt;""),"более 8,00 мкг/кг",IF(AND(D124="молочная сыворотка, творог, сыр, масло, сливки, кисломолочные продукты, мороженное",OR(R124&lt;2.5,I124&gt;=$I$22,I125&gt;=$I$22)),"менее 2,5 мкг/кг",IF(AND(D124="молочная сыворотка, творог, сыр, масло, сливки, кисломолочные продукты, мороженное",R124&gt;160,R124&lt;&gt;""),"более 160,0 мкг/кг","соответствует")))))))))</f>
        <v/>
      </c>
    </row>
    <row r="125" spans="1:22" ht="15.75" customHeight="1" thickTop="1" thickBot="1">
      <c r="A125" s="157"/>
      <c r="B125" s="164"/>
      <c r="C125" s="164"/>
      <c r="D125" s="154"/>
      <c r="E125" s="154"/>
      <c r="F125" s="79"/>
      <c r="G125" s="111"/>
      <c r="H125" s="148"/>
      <c r="I125" s="86"/>
      <c r="J125" s="93" t="str">
        <f t="shared" si="430"/>
        <v/>
      </c>
      <c r="K125" s="94" t="str">
        <f t="shared" si="423"/>
        <v/>
      </c>
      <c r="L125" s="94"/>
      <c r="M125" s="41" t="str">
        <f t="shared" si="424"/>
        <v/>
      </c>
      <c r="N125" s="150" t="str">
        <f t="shared" ref="N125" si="621">IF(I125=M125,"0,0%",STDEV(I125:M125)/AVERAGE(I125:M125))</f>
        <v>0,0%</v>
      </c>
      <c r="O125" s="41" t="str">
        <f t="shared" ref="O125" si="622">IF(M125="","",10^((M125-INTERCEPT($M$11:$M$16,$J$11:$J$16))/SLOPE($M$11:$M$16,$J$11:$J$16))*H124)</f>
        <v/>
      </c>
      <c r="P125" s="11" t="e">
        <f>VLOOKUP(D124,$Z$3:$AC$6,2,FALSE)</f>
        <v>#N/A</v>
      </c>
      <c r="Q125" s="152"/>
      <c r="R125" s="105" t="str">
        <f t="shared" ref="R125" si="623">IF(O124="","",IF(OR(D124="мясо, рыба, субпродукты",D124="молочная сыворотка, творог, сыр, масло, сливки, кисломолочные продукты, мороженное"),ROUND(AVERAGE(O124:O125),1),ROUND(AVERAGE(O124:O125),1)))</f>
        <v/>
      </c>
      <c r="S125" s="103" t="str">
        <f t="shared" ref="S125" si="624">IF(OR(I124="",I125=""),"",IF(OR(V124="менее 1,00 мкг/кг",V124="менее 2,5 мкг/кг",V124="менее 0,16 мкг/кг",V124="более 32,00 мкг/кг",V124="более 160,0 мкг/кг",V124="более 8,00 мкг/кг"),"",ROUND(0.01*T124*VLOOKUP(D124,$Z$3:$AC$6,3,FALSE),1)))</f>
        <v/>
      </c>
      <c r="T125" s="159"/>
      <c r="U125" s="156"/>
      <c r="V125" s="146"/>
    </row>
    <row r="126" spans="1:22" ht="15.75" customHeight="1" thickTop="1" thickBot="1">
      <c r="A126" s="129">
        <v>49</v>
      </c>
      <c r="B126" s="164"/>
      <c r="C126" s="164"/>
      <c r="D126" s="154"/>
      <c r="E126" s="154"/>
      <c r="F126" s="77"/>
      <c r="G126" s="110"/>
      <c r="H126" s="147" t="str">
        <f t="shared" ref="H126" si="625">IF(D126="","",VLOOKUP(D126,$Z$3:$AC$6,4,FALSE))</f>
        <v/>
      </c>
      <c r="I126" s="86"/>
      <c r="J126" s="93" t="str">
        <f t="shared" si="430"/>
        <v/>
      </c>
      <c r="K126" s="94" t="str">
        <f t="shared" si="423"/>
        <v/>
      </c>
      <c r="L126" s="94"/>
      <c r="M126" s="41" t="str">
        <f t="shared" si="424"/>
        <v/>
      </c>
      <c r="N126" s="149" t="str">
        <f t="shared" ref="N126" si="626">IF(OR(I127="",I126=""),"",IF(M126="","",STDEV(J126:J127)/AVERAGE(J126:J127)))</f>
        <v/>
      </c>
      <c r="O126" s="41" t="str">
        <f t="shared" ref="O126" si="627">IF(M126="","",10^((M126-INTERCEPT($M$11:$M$16,$J$11:$J$16))/SLOPE($M$11:$M$16,$J$11:$J$16))*H126)</f>
        <v/>
      </c>
      <c r="P126" s="10" t="e">
        <f t="shared" ref="P126" si="628">ABS(O126-O127)</f>
        <v>#VALUE!</v>
      </c>
      <c r="Q126" s="151" t="str">
        <f t="shared" ref="Q126" si="629">IF(T126="","",IF(OR(V126="менее 1,00 мкг/кг",V126="менее 2,5 мкг/кг",V126="менее 0,16 мкг/кг",V126="более 32,00 мкг/кг",V126="более 160,0 мкг/кг",V126="более 8,00 мкг/кг"),"",IF(0.01*T126*P127&gt;P126,"приемлемы","неприемлемы")))</f>
        <v/>
      </c>
      <c r="R126" s="102" t="str">
        <f t="shared" ref="R126" si="630">IF(O126="","",IF(OR(D126="мясо, рыба, субпродукты",D126="молочная сыворотка, творог, сыр, масло, сливки, кисломолочные продукты, мороженное"),ROUND(AVERAGE(O126:O127),1),ROUND(AVERAGE(O126:O127),2)))</f>
        <v/>
      </c>
      <c r="S126" s="102" t="str">
        <f t="shared" ref="S126" si="631">IF(OR(I126="",I127=""),"",IF(OR(V126="менее 1,00 мкг/кг",V126="менее 2,5 мкг/кг",V126="менее 0,16 мкг/кг",V126="более 32,00 мкг/кг",V126="более 160,0 мкг/кг",V126="более 8,00 мкг/кг"),"",ROUND(0.01*T126*VLOOKUP(D126,$Z$3:$AC$6,3,FALSE),2)))</f>
        <v/>
      </c>
      <c r="T126" s="158" t="str">
        <f t="shared" ref="T126" si="632">IF(OR(I126="",I127=""),"",IF(OR(V126="менее 1,00 мкг/кг",V126="менее 2,5 мкг/кг",V126="менее 0,16 мкг/кг",V126="более 32,00 мкг/кг",V126="более 160,0 мкг/кг",V126="более 8,00 мкг/кг"),"",IF(OR(D126="молоко, сухое молоко, детское питание",D126="молоко сгущенное"),TEXT(R126,"0,00"),TEXT(R127,"0,0"))))</f>
        <v/>
      </c>
      <c r="U126" s="155" t="str">
        <f t="shared" si="421"/>
        <v/>
      </c>
      <c r="V126" s="145" t="str">
        <f t="shared" ref="V126" si="633">IF(I126="","",IF(AND(D126="мясо, рыба, субпродукты",OR(R126&lt;2.5,I126&gt;=$I$22,I127&gt;=$I$22)),"менее 2,5 мкг/кг",IF(AND(D126="мясо, рыба, субпродукты",R126&gt;160,R126&lt;&gt;""),"более 160,0 мкг/кг",IF(AND(D126="молоко сгущенное",OR(R126&lt;1,I126&gt;=$I$22,I127&gt;=$I$22)),"менее 1,00 мкг/кг",IF(AND(D126="молоко сгущенное",R126&gt;32,R126&lt;&gt;""),"более 32,00 мкг/кг",IF(AND(D126="молоко, сухое молоко, детское питание",OR(R126&lt;0.16,I126&gt;=$I$22,I127&gt;=$I$22)),"менее 0,16 мкг/кг",IF(AND(D126="молоко, сухое молоко, детское питание",R126&gt;8,R126&lt;&gt;""),"более 8,00 мкг/кг",IF(AND(D126="молочная сыворотка, творог, сыр, масло, сливки, кисломолочные продукты, мороженное",OR(R126&lt;2.5,I126&gt;=$I$22,I127&gt;=$I$22)),"менее 2,5 мкг/кг",IF(AND(D126="молочная сыворотка, творог, сыр, масло, сливки, кисломолочные продукты, мороженное",R126&gt;160,R126&lt;&gt;""),"более 160,0 мкг/кг","соответствует")))))))))</f>
        <v/>
      </c>
    </row>
    <row r="127" spans="1:22" ht="15.75" customHeight="1" thickTop="1" thickBot="1">
      <c r="A127" s="157"/>
      <c r="B127" s="164"/>
      <c r="C127" s="164"/>
      <c r="D127" s="154"/>
      <c r="E127" s="154"/>
      <c r="F127" s="79"/>
      <c r="G127" s="111"/>
      <c r="H127" s="148"/>
      <c r="I127" s="86"/>
      <c r="J127" s="93" t="str">
        <f t="shared" si="430"/>
        <v/>
      </c>
      <c r="K127" s="94" t="str">
        <f t="shared" si="423"/>
        <v/>
      </c>
      <c r="L127" s="94"/>
      <c r="M127" s="41" t="str">
        <f t="shared" si="424"/>
        <v/>
      </c>
      <c r="N127" s="150" t="str">
        <f t="shared" ref="N127" si="634">IF(I127=M127,"0,0%",STDEV(I127:M127)/AVERAGE(I127:M127))</f>
        <v>0,0%</v>
      </c>
      <c r="O127" s="41" t="str">
        <f t="shared" ref="O127" si="635">IF(M127="","",10^((M127-INTERCEPT($M$11:$M$16,$J$11:$J$16))/SLOPE($M$11:$M$16,$J$11:$J$16))*H126)</f>
        <v/>
      </c>
      <c r="P127" s="11" t="e">
        <f>VLOOKUP(D126,$Z$3:$AC$6,2,FALSE)</f>
        <v>#N/A</v>
      </c>
      <c r="Q127" s="152"/>
      <c r="R127" s="105" t="str">
        <f t="shared" ref="R127" si="636">IF(O126="","",IF(OR(D126="мясо, рыба, субпродукты",D126="молочная сыворотка, творог, сыр, масло, сливки, кисломолочные продукты, мороженное"),ROUND(AVERAGE(O126:O127),1),ROUND(AVERAGE(O126:O127),1)))</f>
        <v/>
      </c>
      <c r="S127" s="103" t="str">
        <f t="shared" ref="S127" si="637">IF(OR(I126="",I127=""),"",IF(OR(V126="менее 1,00 мкг/кг",V126="менее 2,5 мкг/кг",V126="менее 0,16 мкг/кг",V126="более 32,00 мкг/кг",V126="более 160,0 мкг/кг",V126="более 8,00 мкг/кг"),"",ROUND(0.01*T126*VLOOKUP(D126,$Z$3:$AC$6,3,FALSE),1)))</f>
        <v/>
      </c>
      <c r="T127" s="159"/>
      <c r="U127" s="156"/>
      <c r="V127" s="146"/>
    </row>
    <row r="128" spans="1:22" ht="15.75" customHeight="1" thickTop="1" thickBot="1">
      <c r="A128" s="129">
        <v>50</v>
      </c>
      <c r="B128" s="164"/>
      <c r="C128" s="164"/>
      <c r="D128" s="160"/>
      <c r="E128" s="161"/>
      <c r="F128" s="77"/>
      <c r="G128" s="110"/>
      <c r="H128" s="147" t="str">
        <f t="shared" ref="H128" si="638">IF(D128="","",VLOOKUP(D128,$Z$3:$AC$6,4,FALSE))</f>
        <v/>
      </c>
      <c r="I128" s="86"/>
      <c r="J128" s="93" t="str">
        <f t="shared" si="430"/>
        <v/>
      </c>
      <c r="K128" s="94" t="str">
        <f t="shared" si="423"/>
        <v/>
      </c>
      <c r="L128" s="94"/>
      <c r="M128" s="41" t="str">
        <f t="shared" si="424"/>
        <v/>
      </c>
      <c r="N128" s="149" t="str">
        <f t="shared" ref="N128" si="639">IF(OR(I129="",I128=""),"",IF(M128="","",STDEV(J128:J129)/AVERAGE(J128:J129)))</f>
        <v/>
      </c>
      <c r="O128" s="41" t="str">
        <f t="shared" ref="O128" si="640">IF(M128="","",10^((M128-INTERCEPT($M$11:$M$16,$J$11:$J$16))/SLOPE($M$11:$M$16,$J$11:$J$16))*H128)</f>
        <v/>
      </c>
      <c r="P128" s="10" t="e">
        <f t="shared" ref="P128" si="641">ABS(O128-O129)</f>
        <v>#VALUE!</v>
      </c>
      <c r="Q128" s="151" t="str">
        <f t="shared" ref="Q128" si="642">IF(T128="","",IF(OR(V128="менее 1,00 мкг/кг",V128="менее 2,5 мкг/кг",V128="менее 0,16 мкг/кг",V128="более 32,00 мкг/кг",V128="более 160,0 мкг/кг",V128="более 8,00 мкг/кг"),"",IF(0.01*T128*P129&gt;P128,"приемлемы","неприемлемы")))</f>
        <v/>
      </c>
      <c r="R128" s="102" t="str">
        <f t="shared" ref="R128" si="643">IF(O128="","",IF(OR(D128="мясо, рыба, субпродукты",D128="молочная сыворотка, творог, сыр, масло, сливки, кисломолочные продукты, мороженное"),ROUND(AVERAGE(O128:O129),1),ROUND(AVERAGE(O128:O129),2)))</f>
        <v/>
      </c>
      <c r="S128" s="102" t="str">
        <f t="shared" ref="S128" si="644">IF(OR(I128="",I129=""),"",IF(OR(V128="менее 1,00 мкг/кг",V128="менее 2,5 мкг/кг",V128="менее 0,16 мкг/кг",V128="более 32,00 мкг/кг",V128="более 160,0 мкг/кг",V128="более 8,00 мкг/кг"),"",ROUND(0.01*T128*VLOOKUP(D128,$Z$3:$AC$6,3,FALSE),2)))</f>
        <v/>
      </c>
      <c r="T128" s="158" t="str">
        <f t="shared" ref="T128" si="645">IF(OR(I128="",I129=""),"",IF(OR(V128="менее 1,00 мкг/кг",V128="менее 2,5 мкг/кг",V128="менее 0,16 мкг/кг",V128="более 32,00 мкг/кг",V128="более 160,0 мкг/кг",V128="более 8,00 мкг/кг"),"",IF(OR(D128="молоко, сухое молоко, детское питание",D128="молоко сгущенное"),TEXT(R128,"0,00"),TEXT(R129,"0,0"))))</f>
        <v/>
      </c>
      <c r="U128" s="155" t="str">
        <f t="shared" si="421"/>
        <v/>
      </c>
      <c r="V128" s="145" t="str">
        <f t="shared" ref="V128" si="646">IF(I128="","",IF(AND(D128="мясо, рыба, субпродукты",OR(R128&lt;2.5,I128&gt;=$I$22,I129&gt;=$I$22)),"менее 2,5 мкг/кг",IF(AND(D128="мясо, рыба, субпродукты",R128&gt;160,R128&lt;&gt;""),"более 160,0 мкг/кг",IF(AND(D128="молоко сгущенное",OR(R128&lt;1,I128&gt;=$I$22,I129&gt;=$I$22)),"менее 1,00 мкг/кг",IF(AND(D128="молоко сгущенное",R128&gt;32,R128&lt;&gt;""),"более 32,00 мкг/кг",IF(AND(D128="молоко, сухое молоко, детское питание",OR(R128&lt;0.16,I128&gt;=$I$22,I129&gt;=$I$22)),"менее 0,16 мкг/кг",IF(AND(D128="молоко, сухое молоко, детское питание",R128&gt;8,R128&lt;&gt;""),"более 8,00 мкг/кг",IF(AND(D128="молочная сыворотка, творог, сыр, масло, сливки, кисломолочные продукты, мороженное",OR(R128&lt;2.5,I128&gt;=$I$22,I129&gt;=$I$22)),"менее 2,5 мкг/кг",IF(AND(D128="молочная сыворотка, творог, сыр, масло, сливки, кисломолочные продукты, мороженное",R128&gt;160,R128&lt;&gt;""),"более 160,0 мкг/кг","соответствует")))))))))</f>
        <v/>
      </c>
    </row>
    <row r="129" spans="1:22" ht="15.75" customHeight="1" thickTop="1" thickBot="1">
      <c r="A129" s="157"/>
      <c r="B129" s="164"/>
      <c r="C129" s="164"/>
      <c r="D129" s="162"/>
      <c r="E129" s="163"/>
      <c r="F129" s="79"/>
      <c r="G129" s="111"/>
      <c r="H129" s="148"/>
      <c r="I129" s="86"/>
      <c r="J129" s="93" t="str">
        <f t="shared" si="430"/>
        <v/>
      </c>
      <c r="K129" s="94" t="str">
        <f t="shared" si="423"/>
        <v/>
      </c>
      <c r="L129" s="94"/>
      <c r="M129" s="41" t="str">
        <f t="shared" si="424"/>
        <v/>
      </c>
      <c r="N129" s="150" t="str">
        <f t="shared" ref="N129" si="647">IF(I129=M129,"0,0%",STDEV(I129:M129)/AVERAGE(I129:M129))</f>
        <v>0,0%</v>
      </c>
      <c r="O129" s="41" t="str">
        <f t="shared" ref="O129" si="648">IF(M129="","",10^((M129-INTERCEPT($M$11:$M$16,$J$11:$J$16))/SLOPE($M$11:$M$16,$J$11:$J$16))*H128)</f>
        <v/>
      </c>
      <c r="P129" s="11" t="e">
        <f>VLOOKUP(D128,$Z$3:$AC$6,2,FALSE)</f>
        <v>#N/A</v>
      </c>
      <c r="Q129" s="152"/>
      <c r="R129" s="105" t="str">
        <f t="shared" ref="R129" si="649">IF(O128="","",IF(OR(D128="мясо, рыба, субпродукты",D128="молочная сыворотка, творог, сыр, масло, сливки, кисломолочные продукты, мороженное"),ROUND(AVERAGE(O128:O129),1),ROUND(AVERAGE(O128:O129),1)))</f>
        <v/>
      </c>
      <c r="S129" s="103" t="str">
        <f t="shared" ref="S129" si="650">IF(OR(I128="",I129=""),"",IF(OR(V128="менее 1,00 мкг/кг",V128="менее 2,5 мкг/кг",V128="менее 0,16 мкг/кг",V128="более 32,00 мкг/кг",V128="более 160,0 мкг/кг",V128="более 8,00 мкг/кг"),"",ROUND(0.01*T128*VLOOKUP(D128,$Z$3:$AC$6,3,FALSE),1)))</f>
        <v/>
      </c>
      <c r="T129" s="159"/>
      <c r="U129" s="156"/>
      <c r="V129" s="146"/>
    </row>
    <row r="130" spans="1:22" ht="15.75" customHeight="1" thickTop="1" thickBot="1">
      <c r="A130" s="129">
        <v>51</v>
      </c>
      <c r="B130" s="164"/>
      <c r="C130" s="164"/>
      <c r="D130" s="154"/>
      <c r="E130" s="154"/>
      <c r="F130" s="77"/>
      <c r="G130" s="110"/>
      <c r="H130" s="147" t="str">
        <f t="shared" ref="H130" si="651">IF(D130="","",VLOOKUP(D130,$Z$3:$AC$6,4,FALSE))</f>
        <v/>
      </c>
      <c r="I130" s="86"/>
      <c r="J130" s="93" t="str">
        <f t="shared" si="430"/>
        <v/>
      </c>
      <c r="K130" s="94" t="str">
        <f t="shared" si="423"/>
        <v/>
      </c>
      <c r="L130" s="94"/>
      <c r="M130" s="41" t="str">
        <f t="shared" si="424"/>
        <v/>
      </c>
      <c r="N130" s="149" t="str">
        <f t="shared" ref="N130" si="652">IF(OR(I131="",I130=""),"",IF(M130="","",STDEV(J130:J131)/AVERAGE(J130:J131)))</f>
        <v/>
      </c>
      <c r="O130" s="41" t="str">
        <f t="shared" ref="O130" si="653">IF(M130="","",10^((M130-INTERCEPT($M$11:$M$16,$J$11:$J$16))/SLOPE($M$11:$M$16,$J$11:$J$16))*H130)</f>
        <v/>
      </c>
      <c r="P130" s="10" t="e">
        <f t="shared" ref="P130" si="654">ABS(O130-O131)</f>
        <v>#VALUE!</v>
      </c>
      <c r="Q130" s="151" t="str">
        <f t="shared" ref="Q130" si="655">IF(T130="","",IF(OR(V130="менее 1,00 мкг/кг",V130="менее 2,5 мкг/кг",V130="менее 0,16 мкг/кг",V130="более 32,00 мкг/кг",V130="более 160,0 мкг/кг",V130="более 8,00 мкг/кг"),"",IF(0.01*T130*P131&gt;P130,"приемлемы","неприемлемы")))</f>
        <v/>
      </c>
      <c r="R130" s="102" t="str">
        <f t="shared" ref="R130" si="656">IF(O130="","",IF(OR(D130="мясо, рыба, субпродукты",D130="молочная сыворотка, творог, сыр, масло, сливки, кисломолочные продукты, мороженное"),ROUND(AVERAGE(O130:O131),1),ROUND(AVERAGE(O130:O131),2)))</f>
        <v/>
      </c>
      <c r="S130" s="102" t="str">
        <f t="shared" ref="S130" si="657">IF(OR(I130="",I131=""),"",IF(OR(V130="менее 1,00 мкг/кг",V130="менее 2,5 мкг/кг",V130="менее 0,16 мкг/кг",V130="более 32,00 мкг/кг",V130="более 160,0 мкг/кг",V130="более 8,00 мкг/кг"),"",ROUND(0.01*T130*VLOOKUP(D130,$Z$3:$AC$6,3,FALSE),2)))</f>
        <v/>
      </c>
      <c r="T130" s="158" t="str">
        <f t="shared" ref="T130" si="658">IF(OR(I130="",I131=""),"",IF(OR(V130="менее 1,00 мкг/кг",V130="менее 2,5 мкг/кг",V130="менее 0,16 мкг/кг",V130="более 32,00 мкг/кг",V130="более 160,0 мкг/кг",V130="более 8,00 мкг/кг"),"",IF(OR(D130="молоко, сухое молоко, детское питание",D130="молоко сгущенное"),TEXT(R130,"0,00"),TEXT(R131,"0,0"))))</f>
        <v/>
      </c>
      <c r="U130" s="155" t="str">
        <f t="shared" si="421"/>
        <v/>
      </c>
      <c r="V130" s="145" t="str">
        <f t="shared" ref="V130" si="659">IF(I130="","",IF(AND(D130="мясо, рыба, субпродукты",OR(R130&lt;2.5,I130&gt;=$I$22,I131&gt;=$I$22)),"менее 2,5 мкг/кг",IF(AND(D130="мясо, рыба, субпродукты",R130&gt;160,R130&lt;&gt;""),"более 160,0 мкг/кг",IF(AND(D130="молоко сгущенное",OR(R130&lt;1,I130&gt;=$I$22,I131&gt;=$I$22)),"менее 1,00 мкг/кг",IF(AND(D130="молоко сгущенное",R130&gt;32,R130&lt;&gt;""),"более 32,00 мкг/кг",IF(AND(D130="молоко, сухое молоко, детское питание",OR(R130&lt;0.16,I130&gt;=$I$22,I131&gt;=$I$22)),"менее 0,16 мкг/кг",IF(AND(D130="молоко, сухое молоко, детское питание",R130&gt;8,R130&lt;&gt;""),"более 8,00 мкг/кг",IF(AND(D130="молочная сыворотка, творог, сыр, масло, сливки, кисломолочные продукты, мороженное",OR(R130&lt;2.5,I130&gt;=$I$22,I131&gt;=$I$22)),"менее 2,5 мкг/кг",IF(AND(D130="молочная сыворотка, творог, сыр, масло, сливки, кисломолочные продукты, мороженное",R130&gt;160,R130&lt;&gt;""),"более 160,0 мкг/кг","соответствует")))))))))</f>
        <v/>
      </c>
    </row>
    <row r="131" spans="1:22" ht="15.75" customHeight="1" thickTop="1" thickBot="1">
      <c r="A131" s="157"/>
      <c r="B131" s="164"/>
      <c r="C131" s="164"/>
      <c r="D131" s="154"/>
      <c r="E131" s="154"/>
      <c r="F131" s="79"/>
      <c r="G131" s="111"/>
      <c r="H131" s="148"/>
      <c r="I131" s="86"/>
      <c r="J131" s="93" t="str">
        <f t="shared" si="430"/>
        <v/>
      </c>
      <c r="K131" s="94" t="str">
        <f t="shared" si="423"/>
        <v/>
      </c>
      <c r="L131" s="94"/>
      <c r="M131" s="41" t="str">
        <f t="shared" si="424"/>
        <v/>
      </c>
      <c r="N131" s="150" t="str">
        <f t="shared" ref="N131" si="660">IF(I131=M131,"0,0%",STDEV(I131:M131)/AVERAGE(I131:M131))</f>
        <v>0,0%</v>
      </c>
      <c r="O131" s="41" t="str">
        <f t="shared" ref="O131" si="661">IF(M131="","",10^((M131-INTERCEPT($M$11:$M$16,$J$11:$J$16))/SLOPE($M$11:$M$16,$J$11:$J$16))*H130)</f>
        <v/>
      </c>
      <c r="P131" s="11" t="e">
        <f>VLOOKUP(D130,$Z$3:$AC$6,2,FALSE)</f>
        <v>#N/A</v>
      </c>
      <c r="Q131" s="152"/>
      <c r="R131" s="105" t="str">
        <f t="shared" ref="R131" si="662">IF(O130="","",IF(OR(D130="мясо, рыба, субпродукты",D130="молочная сыворотка, творог, сыр, масло, сливки, кисломолочные продукты, мороженное"),ROUND(AVERAGE(O130:O131),1),ROUND(AVERAGE(O130:O131),1)))</f>
        <v/>
      </c>
      <c r="S131" s="103" t="str">
        <f t="shared" ref="S131" si="663">IF(OR(I130="",I131=""),"",IF(OR(V130="менее 1,00 мкг/кг",V130="менее 2,5 мкг/кг",V130="менее 0,16 мкг/кг",V130="более 32,00 мкг/кг",V130="более 160,0 мкг/кг",V130="более 8,00 мкг/кг"),"",ROUND(0.01*T130*VLOOKUP(D130,$Z$3:$AC$6,3,FALSE),1)))</f>
        <v/>
      </c>
      <c r="T131" s="159"/>
      <c r="U131" s="156"/>
      <c r="V131" s="146"/>
    </row>
    <row r="132" spans="1:22" ht="15.75" customHeight="1" thickTop="1" thickBot="1">
      <c r="A132" s="129">
        <v>52</v>
      </c>
      <c r="B132" s="164"/>
      <c r="C132" s="164"/>
      <c r="D132" s="154"/>
      <c r="E132" s="154"/>
      <c r="F132" s="77"/>
      <c r="G132" s="110"/>
      <c r="H132" s="147" t="str">
        <f t="shared" ref="H132" si="664">IF(D132="","",VLOOKUP(D132,$Z$3:$AC$6,4,FALSE))</f>
        <v/>
      </c>
      <c r="I132" s="86"/>
      <c r="J132" s="93" t="str">
        <f t="shared" si="430"/>
        <v/>
      </c>
      <c r="K132" s="94" t="str">
        <f t="shared" si="423"/>
        <v/>
      </c>
      <c r="L132" s="94"/>
      <c r="M132" s="41" t="str">
        <f t="shared" si="424"/>
        <v/>
      </c>
      <c r="N132" s="149" t="str">
        <f t="shared" ref="N132" si="665">IF(OR(I133="",I132=""),"",IF(M132="","",STDEV(J132:J133)/AVERAGE(J132:J133)))</f>
        <v/>
      </c>
      <c r="O132" s="41" t="str">
        <f t="shared" ref="O132" si="666">IF(M132="","",10^((M132-INTERCEPT($M$11:$M$16,$J$11:$J$16))/SLOPE($M$11:$M$16,$J$11:$J$16))*H132)</f>
        <v/>
      </c>
      <c r="P132" s="10" t="e">
        <f t="shared" ref="P132" si="667">ABS(O132-O133)</f>
        <v>#VALUE!</v>
      </c>
      <c r="Q132" s="151" t="str">
        <f t="shared" ref="Q132" si="668">IF(T132="","",IF(OR(V132="менее 1,00 мкг/кг",V132="менее 2,5 мкг/кг",V132="менее 0,16 мкг/кг",V132="более 32,00 мкг/кг",V132="более 160,0 мкг/кг",V132="более 8,00 мкг/кг"),"",IF(0.01*T132*P133&gt;P132,"приемлемы","неприемлемы")))</f>
        <v/>
      </c>
      <c r="R132" s="102" t="str">
        <f t="shared" ref="R132" si="669">IF(O132="","",IF(OR(D132="мясо, рыба, субпродукты",D132="молочная сыворотка, творог, сыр, масло, сливки, кисломолочные продукты, мороженное"),ROUND(AVERAGE(O132:O133),1),ROUND(AVERAGE(O132:O133),2)))</f>
        <v/>
      </c>
      <c r="S132" s="102" t="str">
        <f t="shared" ref="S132" si="670">IF(OR(I132="",I133=""),"",IF(OR(V132="менее 1,00 мкг/кг",V132="менее 2,5 мкг/кг",V132="менее 0,16 мкг/кг",V132="более 32,00 мкг/кг",V132="более 160,0 мкг/кг",V132="более 8,00 мкг/кг"),"",ROUND(0.01*T132*VLOOKUP(D132,$Z$3:$AC$6,3,FALSE),2)))</f>
        <v/>
      </c>
      <c r="T132" s="158" t="str">
        <f t="shared" ref="T132" si="671">IF(OR(I132="",I133=""),"",IF(OR(V132="менее 1,00 мкг/кг",V132="менее 2,5 мкг/кг",V132="менее 0,16 мкг/кг",V132="более 32,00 мкг/кг",V132="более 160,0 мкг/кг",V132="более 8,00 мкг/кг"),"",IF(OR(D132="молоко, сухое молоко, детское питание",D132="молоко сгущенное"),TEXT(R132,"0,00"),TEXT(R133,"0,0"))))</f>
        <v/>
      </c>
      <c r="U132" s="155" t="str">
        <f t="shared" si="421"/>
        <v/>
      </c>
      <c r="V132" s="145" t="str">
        <f t="shared" ref="V132" si="672">IF(I132="","",IF(AND(D132="мясо, рыба, субпродукты",OR(R132&lt;2.5,I132&gt;=$I$22,I133&gt;=$I$22)),"менее 2,5 мкг/кг",IF(AND(D132="мясо, рыба, субпродукты",R132&gt;160,R132&lt;&gt;""),"более 160,0 мкг/кг",IF(AND(D132="молоко сгущенное",OR(R132&lt;1,I132&gt;=$I$22,I133&gt;=$I$22)),"менее 1,00 мкг/кг",IF(AND(D132="молоко сгущенное",R132&gt;32,R132&lt;&gt;""),"более 32,00 мкг/кг",IF(AND(D132="молоко, сухое молоко, детское питание",OR(R132&lt;0.16,I132&gt;=$I$22,I133&gt;=$I$22)),"менее 0,16 мкг/кг",IF(AND(D132="молоко, сухое молоко, детское питание",R132&gt;8,R132&lt;&gt;""),"более 8,00 мкг/кг",IF(AND(D132="молочная сыворотка, творог, сыр, масло, сливки, кисломолочные продукты, мороженное",OR(R132&lt;2.5,I132&gt;=$I$22,I133&gt;=$I$22)),"менее 2,5 мкг/кг",IF(AND(D132="молочная сыворотка, творог, сыр, масло, сливки, кисломолочные продукты, мороженное",R132&gt;160,R132&lt;&gt;""),"более 160,0 мкг/кг","соответствует")))))))))</f>
        <v/>
      </c>
    </row>
    <row r="133" spans="1:22" ht="15.75" customHeight="1" thickTop="1" thickBot="1">
      <c r="A133" s="157"/>
      <c r="B133" s="164"/>
      <c r="C133" s="164"/>
      <c r="D133" s="154"/>
      <c r="E133" s="154"/>
      <c r="F133" s="79"/>
      <c r="G133" s="111"/>
      <c r="H133" s="148"/>
      <c r="I133" s="86"/>
      <c r="J133" s="93" t="str">
        <f t="shared" si="430"/>
        <v/>
      </c>
      <c r="K133" s="94" t="str">
        <f t="shared" si="423"/>
        <v/>
      </c>
      <c r="L133" s="94"/>
      <c r="M133" s="41" t="str">
        <f t="shared" si="424"/>
        <v/>
      </c>
      <c r="N133" s="150" t="str">
        <f t="shared" ref="N133" si="673">IF(I133=M133,"0,0%",STDEV(I133:M133)/AVERAGE(I133:M133))</f>
        <v>0,0%</v>
      </c>
      <c r="O133" s="41" t="str">
        <f t="shared" ref="O133" si="674">IF(M133="","",10^((M133-INTERCEPT($M$11:$M$16,$J$11:$J$16))/SLOPE($M$11:$M$16,$J$11:$J$16))*H132)</f>
        <v/>
      </c>
      <c r="P133" s="11" t="e">
        <f>VLOOKUP(D132,$Z$3:$AC$6,2,FALSE)</f>
        <v>#N/A</v>
      </c>
      <c r="Q133" s="152"/>
      <c r="R133" s="105" t="str">
        <f t="shared" ref="R133" si="675">IF(O132="","",IF(OR(D132="мясо, рыба, субпродукты",D132="молочная сыворотка, творог, сыр, масло, сливки, кисломолочные продукты, мороженное"),ROUND(AVERAGE(O132:O133),1),ROUND(AVERAGE(O132:O133),1)))</f>
        <v/>
      </c>
      <c r="S133" s="103" t="str">
        <f t="shared" ref="S133" si="676">IF(OR(I132="",I133=""),"",IF(OR(V132="менее 1,00 мкг/кг",V132="менее 2,5 мкг/кг",V132="менее 0,16 мкг/кг",V132="более 32,00 мкг/кг",V132="более 160,0 мкг/кг",V132="более 8,00 мкг/кг"),"",ROUND(0.01*T132*VLOOKUP(D132,$Z$3:$AC$6,3,FALSE),1)))</f>
        <v/>
      </c>
      <c r="T133" s="159"/>
      <c r="U133" s="156"/>
      <c r="V133" s="146"/>
    </row>
    <row r="134" spans="1:22" ht="15.75" customHeight="1" thickTop="1" thickBot="1">
      <c r="A134" s="129">
        <v>53</v>
      </c>
      <c r="B134" s="164"/>
      <c r="C134" s="164"/>
      <c r="D134" s="154"/>
      <c r="E134" s="154"/>
      <c r="F134" s="77"/>
      <c r="G134" s="110"/>
      <c r="H134" s="147" t="str">
        <f t="shared" ref="H134" si="677">IF(D134="","",VLOOKUP(D134,$Z$3:$AC$6,4,FALSE))</f>
        <v/>
      </c>
      <c r="I134" s="86"/>
      <c r="J134" s="93" t="str">
        <f t="shared" si="430"/>
        <v/>
      </c>
      <c r="K134" s="94" t="str">
        <f t="shared" si="423"/>
        <v/>
      </c>
      <c r="L134" s="94"/>
      <c r="M134" s="41" t="str">
        <f t="shared" si="424"/>
        <v/>
      </c>
      <c r="N134" s="149" t="str">
        <f t="shared" ref="N134" si="678">IF(OR(I135="",I134=""),"",IF(M134="","",STDEV(J134:J135)/AVERAGE(J134:J135)))</f>
        <v/>
      </c>
      <c r="O134" s="41" t="str">
        <f t="shared" ref="O134" si="679">IF(M134="","",10^((M134-INTERCEPT($M$11:$M$16,$J$11:$J$16))/SLOPE($M$11:$M$16,$J$11:$J$16))*H134)</f>
        <v/>
      </c>
      <c r="P134" s="10" t="e">
        <f t="shared" ref="P134:P136" si="680">ABS(O134-O135)</f>
        <v>#VALUE!</v>
      </c>
      <c r="Q134" s="151" t="str">
        <f t="shared" ref="Q134" si="681">IF(T134="","",IF(OR(V134="менее 1,00 мкг/кг",V134="менее 2,5 мкг/кг",V134="менее 0,16 мкг/кг",V134="более 32,00 мкг/кг",V134="более 160,0 мкг/кг",V134="более 8,00 мкг/кг"),"",IF(0.01*T134*P135&gt;P134,"приемлемы","неприемлемы")))</f>
        <v/>
      </c>
      <c r="R134" s="102" t="str">
        <f t="shared" ref="R134" si="682">IF(O134="","",IF(OR(D134="мясо, рыба, субпродукты",D134="молочная сыворотка, творог, сыр, масло, сливки, кисломолочные продукты, мороженное"),ROUND(AVERAGE(O134:O135),1),ROUND(AVERAGE(O134:O135),2)))</f>
        <v/>
      </c>
      <c r="S134" s="102" t="str">
        <f t="shared" ref="S134" si="683">IF(OR(I134="",I135=""),"",IF(OR(V134="менее 1,00 мкг/кг",V134="менее 2,5 мкг/кг",V134="менее 0,16 мкг/кг",V134="более 32,00 мкг/кг",V134="более 160,0 мкг/кг",V134="более 8,00 мкг/кг"),"",ROUND(0.01*T134*VLOOKUP(D134,$Z$3:$AC$6,3,FALSE),2)))</f>
        <v/>
      </c>
      <c r="T134" s="158" t="str">
        <f t="shared" ref="T134" si="684">IF(OR(I134="",I135=""),"",IF(OR(V134="менее 1,00 мкг/кг",V134="менее 2,5 мкг/кг",V134="менее 0,16 мкг/кг",V134="более 32,00 мкг/кг",V134="более 160,0 мкг/кг",V134="более 8,00 мкг/кг"),"",IF(OR(D134="молоко, сухое молоко, детское питание",D134="молоко сгущенное"),TEXT(R134,"0,00"),TEXT(R135,"0,0"))))</f>
        <v/>
      </c>
      <c r="U134" s="155" t="str">
        <f t="shared" si="421"/>
        <v/>
      </c>
      <c r="V134" s="145" t="str">
        <f t="shared" ref="V134" si="685">IF(I134="","",IF(AND(D134="мясо, рыба, субпродукты",OR(R134&lt;2.5,I134&gt;=$I$22,I135&gt;=$I$22)),"менее 2,5 мкг/кг",IF(AND(D134="мясо, рыба, субпродукты",R134&gt;160,R134&lt;&gt;""),"более 160,0 мкг/кг",IF(AND(D134="молоко сгущенное",OR(R134&lt;1,I134&gt;=$I$22,I135&gt;=$I$22)),"менее 1,00 мкг/кг",IF(AND(D134="молоко сгущенное",R134&gt;32,R134&lt;&gt;""),"более 32,00 мкг/кг",IF(AND(D134="молоко, сухое молоко, детское питание",OR(R134&lt;0.16,I134&gt;=$I$22,I135&gt;=$I$22)),"менее 0,16 мкг/кг",IF(AND(D134="молоко, сухое молоко, детское питание",R134&gt;8,R134&lt;&gt;""),"более 8,00 мкг/кг",IF(AND(D134="молочная сыворотка, творог, сыр, масло, сливки, кисломолочные продукты, мороженное",OR(R134&lt;2.5,I134&gt;=$I$22,I135&gt;=$I$22)),"менее 2,5 мкг/кг",IF(AND(D134="молочная сыворотка, творог, сыр, масло, сливки, кисломолочные продукты, мороженное",R134&gt;160,R134&lt;&gt;""),"более 160,0 мкг/кг","соответствует")))))))))</f>
        <v/>
      </c>
    </row>
    <row r="135" spans="1:22" ht="15.75" customHeight="1" thickTop="1" thickBot="1">
      <c r="A135" s="157"/>
      <c r="B135" s="164"/>
      <c r="C135" s="164"/>
      <c r="D135" s="154"/>
      <c r="E135" s="154"/>
      <c r="F135" s="79"/>
      <c r="G135" s="111"/>
      <c r="H135" s="148"/>
      <c r="I135" s="86"/>
      <c r="J135" s="93" t="str">
        <f t="shared" si="430"/>
        <v/>
      </c>
      <c r="K135" s="94" t="str">
        <f t="shared" si="423"/>
        <v/>
      </c>
      <c r="L135" s="94"/>
      <c r="M135" s="41" t="str">
        <f t="shared" si="424"/>
        <v/>
      </c>
      <c r="N135" s="150" t="str">
        <f t="shared" ref="N135" si="686">IF(I135=M135,"0,0%",STDEV(I135:M135)/AVERAGE(I135:M135))</f>
        <v>0,0%</v>
      </c>
      <c r="O135" s="41" t="str">
        <f t="shared" ref="O135" si="687">IF(M135="","",10^((M135-INTERCEPT($M$11:$M$16,$J$11:$J$16))/SLOPE($M$11:$M$16,$J$11:$J$16))*H134)</f>
        <v/>
      </c>
      <c r="P135" s="11" t="e">
        <f>VLOOKUP(D134,$Z$3:$AC$6,2,FALSE)</f>
        <v>#N/A</v>
      </c>
      <c r="Q135" s="152"/>
      <c r="R135" s="105" t="str">
        <f t="shared" ref="R135" si="688">IF(O134="","",IF(OR(D134="мясо, рыба, субпродукты",D134="молочная сыворотка, творог, сыр, масло, сливки, кисломолочные продукты, мороженное"),ROUND(AVERAGE(O134:O135),1),ROUND(AVERAGE(O134:O135),1)))</f>
        <v/>
      </c>
      <c r="S135" s="103" t="str">
        <f t="shared" ref="S135" si="689">IF(OR(I134="",I135=""),"",IF(OR(V134="менее 1,00 мкг/кг",V134="менее 2,5 мкг/кг",V134="менее 0,16 мкг/кг",V134="более 32,00 мкг/кг",V134="более 160,0 мкг/кг",V134="более 8,00 мкг/кг"),"",ROUND(0.01*T134*VLOOKUP(D134,$Z$3:$AC$6,3,FALSE),1)))</f>
        <v/>
      </c>
      <c r="T135" s="159"/>
      <c r="U135" s="156"/>
      <c r="V135" s="146"/>
    </row>
    <row r="136" spans="1:22" ht="15.75" customHeight="1" thickTop="1" thickBot="1">
      <c r="A136" s="129">
        <v>54</v>
      </c>
      <c r="B136" s="164"/>
      <c r="C136" s="164"/>
      <c r="D136" s="154"/>
      <c r="E136" s="154"/>
      <c r="F136" s="77"/>
      <c r="G136" s="110"/>
      <c r="H136" s="147" t="str">
        <f t="shared" ref="H136" si="690">IF(D136="","",VLOOKUP(D136,$Z$3:$AC$6,4,FALSE))</f>
        <v/>
      </c>
      <c r="I136" s="86"/>
      <c r="J136" s="93" t="str">
        <f t="shared" si="430"/>
        <v/>
      </c>
      <c r="K136" s="94" t="str">
        <f t="shared" si="423"/>
        <v/>
      </c>
      <c r="L136" s="94"/>
      <c r="M136" s="41" t="str">
        <f t="shared" si="424"/>
        <v/>
      </c>
      <c r="N136" s="149" t="str">
        <f t="shared" ref="N136" si="691">IF(OR(I137="",I136=""),"",IF(M136="","",STDEV(J136:J137)/AVERAGE(J136:J137)))</f>
        <v/>
      </c>
      <c r="O136" s="41" t="str">
        <f t="shared" ref="O136" si="692">IF(M136="","",10^((M136-INTERCEPT($M$11:$M$16,$J$11:$J$16))/SLOPE($M$11:$M$16,$J$11:$J$16))*H136)</f>
        <v/>
      </c>
      <c r="P136" s="10" t="e">
        <f t="shared" si="680"/>
        <v>#VALUE!</v>
      </c>
      <c r="Q136" s="151" t="str">
        <f t="shared" ref="Q136" si="693">IF(T136="","",IF(OR(V136="менее 1,00 мкг/кг",V136="менее 2,5 мкг/кг",V136="менее 0,16 мкг/кг",V136="более 32,00 мкг/кг",V136="более 160,0 мкг/кг",V136="более 8,00 мкг/кг"),"",IF(0.01*T136*P137&gt;P136,"приемлемы","неприемлемы")))</f>
        <v/>
      </c>
      <c r="R136" s="102" t="str">
        <f t="shared" ref="R136" si="694">IF(O136="","",IF(OR(D136="мясо, рыба, субпродукты",D136="молочная сыворотка, творог, сыр, масло, сливки, кисломолочные продукты, мороженное"),ROUND(AVERAGE(O136:O137),1),ROUND(AVERAGE(O136:O137),2)))</f>
        <v/>
      </c>
      <c r="S136" s="102" t="str">
        <f t="shared" ref="S136" si="695">IF(OR(I136="",I137=""),"",IF(OR(V136="менее 1,00 мкг/кг",V136="менее 2,5 мкг/кг",V136="менее 0,16 мкг/кг",V136="более 32,00 мкг/кг",V136="более 160,0 мкг/кг",V136="более 8,00 мкг/кг"),"",ROUND(0.01*T136*VLOOKUP(D136,$Z$3:$AC$6,3,FALSE),2)))</f>
        <v/>
      </c>
      <c r="T136" s="158" t="str">
        <f t="shared" ref="T136" si="696">IF(OR(I136="",I137=""),"",IF(OR(V136="менее 1,00 мкг/кг",V136="менее 2,5 мкг/кг",V136="менее 0,16 мкг/кг",V136="более 32,00 мкг/кг",V136="более 160,0 мкг/кг",V136="более 8,00 мкг/кг"),"",IF(OR(D136="молоко, сухое молоко, детское питание",D136="молоко сгущенное"),TEXT(R136,"0,00"),TEXT(R137,"0,0"))))</f>
        <v/>
      </c>
      <c r="U136" s="155" t="str">
        <f t="shared" si="421"/>
        <v/>
      </c>
      <c r="V136" s="145" t="str">
        <f t="shared" ref="V136" si="697">IF(I136="","",IF(AND(D136="мясо, рыба, субпродукты",OR(R136&lt;2.5,I136&gt;=$I$22,I137&gt;=$I$22)),"менее 2,5 мкг/кг",IF(AND(D136="мясо, рыба, субпродукты",R136&gt;160,R136&lt;&gt;""),"более 160,0 мкг/кг",IF(AND(D136="молоко сгущенное",OR(R136&lt;1,I136&gt;=$I$22,I137&gt;=$I$22)),"менее 1,00 мкг/кг",IF(AND(D136="молоко сгущенное",R136&gt;32,R136&lt;&gt;""),"более 32,00 мкг/кг",IF(AND(D136="молоко, сухое молоко, детское питание",OR(R136&lt;0.16,I136&gt;=$I$22,I137&gt;=$I$22)),"менее 0,16 мкг/кг",IF(AND(D136="молоко, сухое молоко, детское питание",R136&gt;8,R136&lt;&gt;""),"более 8,00 мкг/кг",IF(AND(D136="молочная сыворотка, творог, сыр, масло, сливки, кисломолочные продукты, мороженное",OR(R136&lt;2.5,I136&gt;=$I$22,I137&gt;=$I$22)),"менее 2,5 мкг/кг",IF(AND(D136="молочная сыворотка, творог, сыр, масло, сливки, кисломолочные продукты, мороженное",R136&gt;160,R136&lt;&gt;""),"более 160,0 мкг/кг","соответствует")))))))))</f>
        <v/>
      </c>
    </row>
    <row r="137" spans="1:22" ht="15.75" customHeight="1" thickTop="1" thickBot="1">
      <c r="A137" s="157"/>
      <c r="B137" s="164"/>
      <c r="C137" s="164"/>
      <c r="D137" s="154"/>
      <c r="E137" s="154"/>
      <c r="F137" s="79"/>
      <c r="G137" s="111"/>
      <c r="H137" s="148"/>
      <c r="I137" s="86"/>
      <c r="J137" s="93" t="str">
        <f t="shared" si="430"/>
        <v/>
      </c>
      <c r="K137" s="94" t="str">
        <f t="shared" si="423"/>
        <v/>
      </c>
      <c r="L137" s="94"/>
      <c r="M137" s="41" t="str">
        <f t="shared" si="424"/>
        <v/>
      </c>
      <c r="N137" s="150" t="str">
        <f t="shared" ref="N137" si="698">IF(I137=M137,"0,0%",STDEV(I137:M137)/AVERAGE(I137:M137))</f>
        <v>0,0%</v>
      </c>
      <c r="O137" s="41" t="str">
        <f t="shared" ref="O137" si="699">IF(M137="","",10^((M137-INTERCEPT($M$11:$M$16,$J$11:$J$16))/SLOPE($M$11:$M$16,$J$11:$J$16))*H136)</f>
        <v/>
      </c>
      <c r="P137" s="11" t="e">
        <f>VLOOKUP(D136,$Z$3:$AC$6,2,FALSE)</f>
        <v>#N/A</v>
      </c>
      <c r="Q137" s="152"/>
      <c r="R137" s="105" t="str">
        <f t="shared" ref="R137" si="700">IF(O136="","",IF(OR(D136="мясо, рыба, субпродукты",D136="молочная сыворотка, творог, сыр, масло, сливки, кисломолочные продукты, мороженное"),ROUND(AVERAGE(O136:O137),1),ROUND(AVERAGE(O136:O137),1)))</f>
        <v/>
      </c>
      <c r="S137" s="103" t="str">
        <f t="shared" ref="S137" si="701">IF(OR(I136="",I137=""),"",IF(OR(V136="менее 1,00 мкг/кг",V136="менее 2,5 мкг/кг",V136="менее 0,16 мкг/кг",V136="более 32,00 мкг/кг",V136="более 160,0 мкг/кг",V136="более 8,00 мкг/кг"),"",ROUND(0.01*T136*VLOOKUP(D136,$Z$3:$AC$6,3,FALSE),1)))</f>
        <v/>
      </c>
      <c r="T137" s="159"/>
      <c r="U137" s="156"/>
      <c r="V137" s="146"/>
    </row>
    <row r="138" spans="1:22" ht="15.75" thickTop="1">
      <c r="S138" s="12"/>
      <c r="T138" s="12"/>
      <c r="U138" s="12"/>
    </row>
  </sheetData>
  <mergeCells count="523">
    <mergeCell ref="A32:A33"/>
    <mergeCell ref="B32:C33"/>
    <mergeCell ref="D32:E33"/>
    <mergeCell ref="H32:H33"/>
    <mergeCell ref="N32:N33"/>
    <mergeCell ref="Q32:Q33"/>
    <mergeCell ref="T30:T31"/>
    <mergeCell ref="U30:U31"/>
    <mergeCell ref="B27:C27"/>
    <mergeCell ref="D27:E27"/>
    <mergeCell ref="B28:C28"/>
    <mergeCell ref="D28:E28"/>
    <mergeCell ref="T32:T33"/>
    <mergeCell ref="A30:A31"/>
    <mergeCell ref="U32:U33"/>
    <mergeCell ref="T136:T137"/>
    <mergeCell ref="U136:U137"/>
    <mergeCell ref="V136:V137"/>
    <mergeCell ref="A136:A137"/>
    <mergeCell ref="B136:C137"/>
    <mergeCell ref="D136:E137"/>
    <mergeCell ref="H136:H137"/>
    <mergeCell ref="N136:N137"/>
    <mergeCell ref="Q136:Q137"/>
    <mergeCell ref="A134:A135"/>
    <mergeCell ref="B134:C135"/>
    <mergeCell ref="D134:E135"/>
    <mergeCell ref="H134:H135"/>
    <mergeCell ref="N134:N135"/>
    <mergeCell ref="Q134:Q135"/>
    <mergeCell ref="T134:T135"/>
    <mergeCell ref="U134:U135"/>
    <mergeCell ref="V134:V135"/>
    <mergeCell ref="A132:A133"/>
    <mergeCell ref="B132:C133"/>
    <mergeCell ref="D132:E133"/>
    <mergeCell ref="H132:H133"/>
    <mergeCell ref="N132:N133"/>
    <mergeCell ref="Q132:Q133"/>
    <mergeCell ref="T132:T133"/>
    <mergeCell ref="U132:U133"/>
    <mergeCell ref="V132:V133"/>
    <mergeCell ref="T128:T129"/>
    <mergeCell ref="U128:U129"/>
    <mergeCell ref="V128:V129"/>
    <mergeCell ref="A130:A131"/>
    <mergeCell ref="B130:C131"/>
    <mergeCell ref="D130:E131"/>
    <mergeCell ref="H130:H131"/>
    <mergeCell ref="N130:N131"/>
    <mergeCell ref="Q130:Q131"/>
    <mergeCell ref="T130:T131"/>
    <mergeCell ref="A128:A129"/>
    <mergeCell ref="B128:C129"/>
    <mergeCell ref="D128:E129"/>
    <mergeCell ref="H128:H129"/>
    <mergeCell ref="N128:N129"/>
    <mergeCell ref="Q128:Q129"/>
    <mergeCell ref="U130:U131"/>
    <mergeCell ref="V130:V131"/>
    <mergeCell ref="A126:A127"/>
    <mergeCell ref="B126:C127"/>
    <mergeCell ref="D126:E127"/>
    <mergeCell ref="H126:H127"/>
    <mergeCell ref="N126:N127"/>
    <mergeCell ref="Q126:Q127"/>
    <mergeCell ref="T126:T127"/>
    <mergeCell ref="U126:U127"/>
    <mergeCell ref="V126:V127"/>
    <mergeCell ref="A124:A125"/>
    <mergeCell ref="B124:C125"/>
    <mergeCell ref="D124:E125"/>
    <mergeCell ref="H124:H125"/>
    <mergeCell ref="N124:N125"/>
    <mergeCell ref="Q124:Q125"/>
    <mergeCell ref="T124:T125"/>
    <mergeCell ref="U124:U125"/>
    <mergeCell ref="V124:V125"/>
    <mergeCell ref="T120:T121"/>
    <mergeCell ref="U120:U121"/>
    <mergeCell ref="V120:V121"/>
    <mergeCell ref="A122:A123"/>
    <mergeCell ref="B122:C123"/>
    <mergeCell ref="D122:E123"/>
    <mergeCell ref="H122:H123"/>
    <mergeCell ref="N122:N123"/>
    <mergeCell ref="Q122:Q123"/>
    <mergeCell ref="T122:T123"/>
    <mergeCell ref="A120:A121"/>
    <mergeCell ref="B120:C121"/>
    <mergeCell ref="D120:E121"/>
    <mergeCell ref="H120:H121"/>
    <mergeCell ref="N120:N121"/>
    <mergeCell ref="Q120:Q121"/>
    <mergeCell ref="U122:U123"/>
    <mergeCell ref="V122:V123"/>
    <mergeCell ref="A118:A119"/>
    <mergeCell ref="B118:C119"/>
    <mergeCell ref="D118:E119"/>
    <mergeCell ref="H118:H119"/>
    <mergeCell ref="N118:N119"/>
    <mergeCell ref="Q118:Q119"/>
    <mergeCell ref="T118:T119"/>
    <mergeCell ref="U118:U119"/>
    <mergeCell ref="V118:V119"/>
    <mergeCell ref="A116:A117"/>
    <mergeCell ref="B116:C117"/>
    <mergeCell ref="D116:E117"/>
    <mergeCell ref="H116:H117"/>
    <mergeCell ref="N116:N117"/>
    <mergeCell ref="Q116:Q117"/>
    <mergeCell ref="T116:T117"/>
    <mergeCell ref="U116:U117"/>
    <mergeCell ref="V116:V117"/>
    <mergeCell ref="T112:T113"/>
    <mergeCell ref="U112:U113"/>
    <mergeCell ref="V112:V113"/>
    <mergeCell ref="A114:A115"/>
    <mergeCell ref="B114:C115"/>
    <mergeCell ref="D114:E115"/>
    <mergeCell ref="H114:H115"/>
    <mergeCell ref="N114:N115"/>
    <mergeCell ref="Q114:Q115"/>
    <mergeCell ref="T114:T115"/>
    <mergeCell ref="A112:A113"/>
    <mergeCell ref="B112:C113"/>
    <mergeCell ref="D112:E113"/>
    <mergeCell ref="H112:H113"/>
    <mergeCell ref="N112:N113"/>
    <mergeCell ref="Q112:Q113"/>
    <mergeCell ref="U114:U115"/>
    <mergeCell ref="V114:V115"/>
    <mergeCell ref="A110:A111"/>
    <mergeCell ref="B110:C111"/>
    <mergeCell ref="D110:E111"/>
    <mergeCell ref="H110:H111"/>
    <mergeCell ref="N110:N111"/>
    <mergeCell ref="Q110:Q111"/>
    <mergeCell ref="T110:T111"/>
    <mergeCell ref="U110:U111"/>
    <mergeCell ref="V110:V111"/>
    <mergeCell ref="A108:A109"/>
    <mergeCell ref="B108:C109"/>
    <mergeCell ref="D108:E109"/>
    <mergeCell ref="H108:H109"/>
    <mergeCell ref="N108:N109"/>
    <mergeCell ref="Q108:Q109"/>
    <mergeCell ref="T108:T109"/>
    <mergeCell ref="U108:U109"/>
    <mergeCell ref="V108:V109"/>
    <mergeCell ref="T104:T105"/>
    <mergeCell ref="U104:U105"/>
    <mergeCell ref="V104:V105"/>
    <mergeCell ref="A106:A107"/>
    <mergeCell ref="B106:C107"/>
    <mergeCell ref="D106:E107"/>
    <mergeCell ref="H106:H107"/>
    <mergeCell ref="N106:N107"/>
    <mergeCell ref="Q106:Q107"/>
    <mergeCell ref="T106:T107"/>
    <mergeCell ref="A104:A105"/>
    <mergeCell ref="B104:C105"/>
    <mergeCell ref="D104:E105"/>
    <mergeCell ref="H104:H105"/>
    <mergeCell ref="N104:N105"/>
    <mergeCell ref="Q104:Q105"/>
    <mergeCell ref="U106:U107"/>
    <mergeCell ref="V106:V107"/>
    <mergeCell ref="A102:A103"/>
    <mergeCell ref="B102:C103"/>
    <mergeCell ref="D102:E103"/>
    <mergeCell ref="H102:H103"/>
    <mergeCell ref="N102:N103"/>
    <mergeCell ref="Q102:Q103"/>
    <mergeCell ref="T102:T103"/>
    <mergeCell ref="U102:U103"/>
    <mergeCell ref="V102:V103"/>
    <mergeCell ref="A100:A101"/>
    <mergeCell ref="B100:C101"/>
    <mergeCell ref="D100:E101"/>
    <mergeCell ref="H100:H101"/>
    <mergeCell ref="N100:N101"/>
    <mergeCell ref="Q100:Q101"/>
    <mergeCell ref="T100:T101"/>
    <mergeCell ref="U100:U101"/>
    <mergeCell ref="V100:V101"/>
    <mergeCell ref="T96:T97"/>
    <mergeCell ref="U96:U97"/>
    <mergeCell ref="V96:V97"/>
    <mergeCell ref="A98:A99"/>
    <mergeCell ref="B98:C99"/>
    <mergeCell ref="D98:E99"/>
    <mergeCell ref="H98:H99"/>
    <mergeCell ref="N98:N99"/>
    <mergeCell ref="Q98:Q99"/>
    <mergeCell ref="T98:T99"/>
    <mergeCell ref="A96:A97"/>
    <mergeCell ref="B96:C97"/>
    <mergeCell ref="D96:E97"/>
    <mergeCell ref="H96:H97"/>
    <mergeCell ref="N96:N97"/>
    <mergeCell ref="Q96:Q97"/>
    <mergeCell ref="U98:U99"/>
    <mergeCell ref="V98:V99"/>
    <mergeCell ref="A94:A95"/>
    <mergeCell ref="B94:C95"/>
    <mergeCell ref="D94:E95"/>
    <mergeCell ref="H94:H95"/>
    <mergeCell ref="N94:N95"/>
    <mergeCell ref="Q94:Q95"/>
    <mergeCell ref="T94:T95"/>
    <mergeCell ref="U94:U95"/>
    <mergeCell ref="V94:V95"/>
    <mergeCell ref="A92:A93"/>
    <mergeCell ref="B92:C93"/>
    <mergeCell ref="D92:E93"/>
    <mergeCell ref="H92:H93"/>
    <mergeCell ref="N92:N93"/>
    <mergeCell ref="Q92:Q93"/>
    <mergeCell ref="T92:T93"/>
    <mergeCell ref="U92:U93"/>
    <mergeCell ref="V92:V93"/>
    <mergeCell ref="T88:T89"/>
    <mergeCell ref="U88:U89"/>
    <mergeCell ref="V88:V89"/>
    <mergeCell ref="A90:A91"/>
    <mergeCell ref="B90:C91"/>
    <mergeCell ref="D90:E91"/>
    <mergeCell ref="H90:H91"/>
    <mergeCell ref="N90:N91"/>
    <mergeCell ref="Q90:Q91"/>
    <mergeCell ref="T90:T91"/>
    <mergeCell ref="A88:A89"/>
    <mergeCell ref="B88:C89"/>
    <mergeCell ref="D88:E89"/>
    <mergeCell ref="H88:H89"/>
    <mergeCell ref="N88:N89"/>
    <mergeCell ref="Q88:Q89"/>
    <mergeCell ref="U90:U91"/>
    <mergeCell ref="V90:V91"/>
    <mergeCell ref="A86:A87"/>
    <mergeCell ref="B86:C87"/>
    <mergeCell ref="D86:E87"/>
    <mergeCell ref="H86:H87"/>
    <mergeCell ref="N86:N87"/>
    <mergeCell ref="Q86:Q87"/>
    <mergeCell ref="T86:T87"/>
    <mergeCell ref="U86:U87"/>
    <mergeCell ref="V86:V87"/>
    <mergeCell ref="A84:A85"/>
    <mergeCell ref="B84:C85"/>
    <mergeCell ref="D84:E85"/>
    <mergeCell ref="H84:H85"/>
    <mergeCell ref="N84:N85"/>
    <mergeCell ref="Q84:Q85"/>
    <mergeCell ref="T84:T85"/>
    <mergeCell ref="U84:U85"/>
    <mergeCell ref="V84:V85"/>
    <mergeCell ref="T80:T81"/>
    <mergeCell ref="U80:U81"/>
    <mergeCell ref="V80:V81"/>
    <mergeCell ref="A82:A83"/>
    <mergeCell ref="B82:C83"/>
    <mergeCell ref="D82:E83"/>
    <mergeCell ref="H82:H83"/>
    <mergeCell ref="N82:N83"/>
    <mergeCell ref="Q82:Q83"/>
    <mergeCell ref="T82:T83"/>
    <mergeCell ref="A80:A81"/>
    <mergeCell ref="B80:C81"/>
    <mergeCell ref="D80:E81"/>
    <mergeCell ref="H80:H81"/>
    <mergeCell ref="N80:N81"/>
    <mergeCell ref="Q80:Q81"/>
    <mergeCell ref="U82:U83"/>
    <mergeCell ref="V82:V83"/>
    <mergeCell ref="A78:A79"/>
    <mergeCell ref="B78:C79"/>
    <mergeCell ref="D78:E79"/>
    <mergeCell ref="H78:H79"/>
    <mergeCell ref="N78:N79"/>
    <mergeCell ref="Q78:Q79"/>
    <mergeCell ref="T78:T79"/>
    <mergeCell ref="U78:U79"/>
    <mergeCell ref="V78:V79"/>
    <mergeCell ref="A76:A77"/>
    <mergeCell ref="B76:C77"/>
    <mergeCell ref="D76:E77"/>
    <mergeCell ref="H76:H77"/>
    <mergeCell ref="N76:N77"/>
    <mergeCell ref="Q76:Q77"/>
    <mergeCell ref="T76:T77"/>
    <mergeCell ref="U76:U77"/>
    <mergeCell ref="V76:V77"/>
    <mergeCell ref="T72:T73"/>
    <mergeCell ref="U72:U73"/>
    <mergeCell ref="V72:V73"/>
    <mergeCell ref="A74:A75"/>
    <mergeCell ref="B74:C75"/>
    <mergeCell ref="D74:E75"/>
    <mergeCell ref="H74:H75"/>
    <mergeCell ref="N74:N75"/>
    <mergeCell ref="Q74:Q75"/>
    <mergeCell ref="T74:T75"/>
    <mergeCell ref="A72:A73"/>
    <mergeCell ref="B72:C73"/>
    <mergeCell ref="D72:E73"/>
    <mergeCell ref="H72:H73"/>
    <mergeCell ref="N72:N73"/>
    <mergeCell ref="Q72:Q73"/>
    <mergeCell ref="U74:U75"/>
    <mergeCell ref="V74:V75"/>
    <mergeCell ref="A70:A71"/>
    <mergeCell ref="B70:C71"/>
    <mergeCell ref="D70:E71"/>
    <mergeCell ref="H70:H71"/>
    <mergeCell ref="N70:N71"/>
    <mergeCell ref="Q70:Q71"/>
    <mergeCell ref="T70:T71"/>
    <mergeCell ref="U70:U71"/>
    <mergeCell ref="V70:V71"/>
    <mergeCell ref="A68:A69"/>
    <mergeCell ref="B68:C69"/>
    <mergeCell ref="D68:E69"/>
    <mergeCell ref="H68:H69"/>
    <mergeCell ref="N68:N69"/>
    <mergeCell ref="Q68:Q69"/>
    <mergeCell ref="T68:T69"/>
    <mergeCell ref="U68:U69"/>
    <mergeCell ref="V68:V69"/>
    <mergeCell ref="T64:T65"/>
    <mergeCell ref="U64:U65"/>
    <mergeCell ref="V64:V65"/>
    <mergeCell ref="A66:A67"/>
    <mergeCell ref="B66:C67"/>
    <mergeCell ref="D66:E67"/>
    <mergeCell ref="H66:H67"/>
    <mergeCell ref="N66:N67"/>
    <mergeCell ref="Q66:Q67"/>
    <mergeCell ref="T66:T67"/>
    <mergeCell ref="A64:A65"/>
    <mergeCell ref="B64:C65"/>
    <mergeCell ref="D64:E65"/>
    <mergeCell ref="H64:H65"/>
    <mergeCell ref="N64:N65"/>
    <mergeCell ref="Q64:Q65"/>
    <mergeCell ref="U66:U67"/>
    <mergeCell ref="V66:V67"/>
    <mergeCell ref="A62:A63"/>
    <mergeCell ref="B62:C63"/>
    <mergeCell ref="D62:E63"/>
    <mergeCell ref="H62:H63"/>
    <mergeCell ref="N62:N63"/>
    <mergeCell ref="Q62:Q63"/>
    <mergeCell ref="T62:T63"/>
    <mergeCell ref="U62:U63"/>
    <mergeCell ref="V62:V63"/>
    <mergeCell ref="A60:A61"/>
    <mergeCell ref="B60:C61"/>
    <mergeCell ref="D60:E61"/>
    <mergeCell ref="H60:H61"/>
    <mergeCell ref="N60:N61"/>
    <mergeCell ref="Q60:Q61"/>
    <mergeCell ref="T60:T61"/>
    <mergeCell ref="U60:U61"/>
    <mergeCell ref="V60:V61"/>
    <mergeCell ref="T56:T57"/>
    <mergeCell ref="U56:U57"/>
    <mergeCell ref="V56:V57"/>
    <mergeCell ref="A58:A59"/>
    <mergeCell ref="B58:C59"/>
    <mergeCell ref="D58:E59"/>
    <mergeCell ref="H58:H59"/>
    <mergeCell ref="N58:N59"/>
    <mergeCell ref="Q58:Q59"/>
    <mergeCell ref="T58:T59"/>
    <mergeCell ref="A56:A57"/>
    <mergeCell ref="B56:C57"/>
    <mergeCell ref="D56:E57"/>
    <mergeCell ref="H56:H57"/>
    <mergeCell ref="N56:N57"/>
    <mergeCell ref="Q56:Q57"/>
    <mergeCell ref="U58:U59"/>
    <mergeCell ref="V58:V59"/>
    <mergeCell ref="A54:A55"/>
    <mergeCell ref="B54:C55"/>
    <mergeCell ref="D54:E55"/>
    <mergeCell ref="H54:H55"/>
    <mergeCell ref="N54:N55"/>
    <mergeCell ref="Q54:Q55"/>
    <mergeCell ref="T54:T55"/>
    <mergeCell ref="U54:U55"/>
    <mergeCell ref="V54:V55"/>
    <mergeCell ref="A52:A53"/>
    <mergeCell ref="B52:C53"/>
    <mergeCell ref="D52:E53"/>
    <mergeCell ref="H52:H53"/>
    <mergeCell ref="N52:N53"/>
    <mergeCell ref="Q52:Q53"/>
    <mergeCell ref="T52:T53"/>
    <mergeCell ref="U52:U53"/>
    <mergeCell ref="V52:V53"/>
    <mergeCell ref="T48:T49"/>
    <mergeCell ref="U48:U49"/>
    <mergeCell ref="V48:V49"/>
    <mergeCell ref="A50:A51"/>
    <mergeCell ref="B50:C51"/>
    <mergeCell ref="D50:E51"/>
    <mergeCell ref="H50:H51"/>
    <mergeCell ref="N50:N51"/>
    <mergeCell ref="Q50:Q51"/>
    <mergeCell ref="T50:T51"/>
    <mergeCell ref="A48:A49"/>
    <mergeCell ref="B48:C49"/>
    <mergeCell ref="D48:E49"/>
    <mergeCell ref="H48:H49"/>
    <mergeCell ref="N48:N49"/>
    <mergeCell ref="Q48:Q49"/>
    <mergeCell ref="U50:U51"/>
    <mergeCell ref="V50:V51"/>
    <mergeCell ref="A46:A47"/>
    <mergeCell ref="B46:C47"/>
    <mergeCell ref="D46:E47"/>
    <mergeCell ref="H46:H47"/>
    <mergeCell ref="N46:N47"/>
    <mergeCell ref="Q46:Q47"/>
    <mergeCell ref="T46:T47"/>
    <mergeCell ref="U46:U47"/>
    <mergeCell ref="V46:V47"/>
    <mergeCell ref="A44:A45"/>
    <mergeCell ref="B44:C45"/>
    <mergeCell ref="D44:E45"/>
    <mergeCell ref="H44:H45"/>
    <mergeCell ref="N44:N45"/>
    <mergeCell ref="Q44:Q45"/>
    <mergeCell ref="T44:T45"/>
    <mergeCell ref="U44:U45"/>
    <mergeCell ref="V44:V45"/>
    <mergeCell ref="T40:T41"/>
    <mergeCell ref="U40:U41"/>
    <mergeCell ref="V40:V41"/>
    <mergeCell ref="A42:A43"/>
    <mergeCell ref="B42:C43"/>
    <mergeCell ref="D42:E43"/>
    <mergeCell ref="H42:H43"/>
    <mergeCell ref="N42:N43"/>
    <mergeCell ref="Q42:Q43"/>
    <mergeCell ref="T42:T43"/>
    <mergeCell ref="A40:A41"/>
    <mergeCell ref="B40:C41"/>
    <mergeCell ref="D40:E41"/>
    <mergeCell ref="H40:H41"/>
    <mergeCell ref="N40:N41"/>
    <mergeCell ref="Q40:Q41"/>
    <mergeCell ref="U42:U43"/>
    <mergeCell ref="V42:V43"/>
    <mergeCell ref="A38:A39"/>
    <mergeCell ref="B38:C39"/>
    <mergeCell ref="D38:E39"/>
    <mergeCell ref="H38:H39"/>
    <mergeCell ref="N38:N39"/>
    <mergeCell ref="Q38:Q39"/>
    <mergeCell ref="T38:T39"/>
    <mergeCell ref="U38:U39"/>
    <mergeCell ref="V38:V39"/>
    <mergeCell ref="U34:U35"/>
    <mergeCell ref="V34:V35"/>
    <mergeCell ref="A36:A37"/>
    <mergeCell ref="B36:C37"/>
    <mergeCell ref="D36:E37"/>
    <mergeCell ref="H36:H37"/>
    <mergeCell ref="N36:N37"/>
    <mergeCell ref="Q36:Q37"/>
    <mergeCell ref="T36:T37"/>
    <mergeCell ref="U36:U37"/>
    <mergeCell ref="V36:V37"/>
    <mergeCell ref="T34:T35"/>
    <mergeCell ref="A34:A35"/>
    <mergeCell ref="B34:C35"/>
    <mergeCell ref="D34:E35"/>
    <mergeCell ref="H34:H35"/>
    <mergeCell ref="N34:N35"/>
    <mergeCell ref="Q34:Q35"/>
    <mergeCell ref="V32:V33"/>
    <mergeCell ref="B24:C24"/>
    <mergeCell ref="D24:E24"/>
    <mergeCell ref="B25:C25"/>
    <mergeCell ref="D25:E25"/>
    <mergeCell ref="B26:C26"/>
    <mergeCell ref="D26:E26"/>
    <mergeCell ref="H30:H31"/>
    <mergeCell ref="N30:N31"/>
    <mergeCell ref="Q30:Q31"/>
    <mergeCell ref="V30:V31"/>
    <mergeCell ref="T24:U24"/>
    <mergeCell ref="T25:U25"/>
    <mergeCell ref="T26:U26"/>
    <mergeCell ref="T27:U27"/>
    <mergeCell ref="T28:U28"/>
    <mergeCell ref="B30:C31"/>
    <mergeCell ref="D30:E31"/>
    <mergeCell ref="A1:D1"/>
    <mergeCell ref="E1:J1"/>
    <mergeCell ref="A2:J2"/>
    <mergeCell ref="A3:B3"/>
    <mergeCell ref="C3:J3"/>
    <mergeCell ref="A4:B4"/>
    <mergeCell ref="C4:J4"/>
    <mergeCell ref="B21:C21"/>
    <mergeCell ref="D21:E21"/>
    <mergeCell ref="A17:C17"/>
    <mergeCell ref="T21:U21"/>
    <mergeCell ref="B22:C22"/>
    <mergeCell ref="D22:E22"/>
    <mergeCell ref="B23:C23"/>
    <mergeCell ref="D23:E23"/>
    <mergeCell ref="A5:B5"/>
    <mergeCell ref="C5:J5"/>
    <mergeCell ref="A6:B6"/>
    <mergeCell ref="C6:J6"/>
    <mergeCell ref="A9:C9"/>
    <mergeCell ref="D9:E9"/>
    <mergeCell ref="T23:U23"/>
  </mergeCells>
  <dataValidations count="1">
    <dataValidation type="list" allowBlank="1" showInputMessage="1" showErrorMessage="1" sqref="WVR983070:WVS983177 JF30:JG137 TB30:TC137 ACX30:ACY137 AMT30:AMU137 AWP30:AWQ137 BGL30:BGM137 BQH30:BQI137 CAD30:CAE137 CJZ30:CKA137 CTV30:CTW137 DDR30:DDS137 DNN30:DNO137 DXJ30:DXK137 EHF30:EHG137 ERB30:ERC137 FAX30:FAY137 FKT30:FKU137 FUP30:FUQ137 GEL30:GEM137 GOH30:GOI137 GYD30:GYE137 HHZ30:HIA137 HRV30:HRW137 IBR30:IBS137 ILN30:ILO137 IVJ30:IVK137 JFF30:JFG137 JPB30:JPC137 JYX30:JYY137 KIT30:KIU137 KSP30:KSQ137 LCL30:LCM137 LMH30:LMI137 LWD30:LWE137 MFZ30:MGA137 MPV30:MPW137 MZR30:MZS137 NJN30:NJO137 NTJ30:NTK137 ODF30:ODG137 ONB30:ONC137 OWX30:OWY137 PGT30:PGU137 PQP30:PQQ137 QAL30:QAM137 QKH30:QKI137 QUD30:QUE137 RDZ30:REA137 RNV30:RNW137 RXR30:RXS137 SHN30:SHO137 SRJ30:SRK137 TBF30:TBG137 TLB30:TLC137 TUX30:TUY137 UET30:UEU137 UOP30:UOQ137 UYL30:UYM137 VIH30:VII137 VSD30:VSE137 WBZ30:WCA137 WLV30:WLW137 WVR30:WVS137 D65566:G65673 JF65566:JG65673 TB65566:TC65673 ACX65566:ACY65673 AMT65566:AMU65673 AWP65566:AWQ65673 BGL65566:BGM65673 BQH65566:BQI65673 CAD65566:CAE65673 CJZ65566:CKA65673 CTV65566:CTW65673 DDR65566:DDS65673 DNN65566:DNO65673 DXJ65566:DXK65673 EHF65566:EHG65673 ERB65566:ERC65673 FAX65566:FAY65673 FKT65566:FKU65673 FUP65566:FUQ65673 GEL65566:GEM65673 GOH65566:GOI65673 GYD65566:GYE65673 HHZ65566:HIA65673 HRV65566:HRW65673 IBR65566:IBS65673 ILN65566:ILO65673 IVJ65566:IVK65673 JFF65566:JFG65673 JPB65566:JPC65673 JYX65566:JYY65673 KIT65566:KIU65673 KSP65566:KSQ65673 LCL65566:LCM65673 LMH65566:LMI65673 LWD65566:LWE65673 MFZ65566:MGA65673 MPV65566:MPW65673 MZR65566:MZS65673 NJN65566:NJO65673 NTJ65566:NTK65673 ODF65566:ODG65673 ONB65566:ONC65673 OWX65566:OWY65673 PGT65566:PGU65673 PQP65566:PQQ65673 QAL65566:QAM65673 QKH65566:QKI65673 QUD65566:QUE65673 RDZ65566:REA65673 RNV65566:RNW65673 RXR65566:RXS65673 SHN65566:SHO65673 SRJ65566:SRK65673 TBF65566:TBG65673 TLB65566:TLC65673 TUX65566:TUY65673 UET65566:UEU65673 UOP65566:UOQ65673 UYL65566:UYM65673 VIH65566:VII65673 VSD65566:VSE65673 WBZ65566:WCA65673 WLV65566:WLW65673 WVR65566:WVS65673 D131102:G131209 JF131102:JG131209 TB131102:TC131209 ACX131102:ACY131209 AMT131102:AMU131209 AWP131102:AWQ131209 BGL131102:BGM131209 BQH131102:BQI131209 CAD131102:CAE131209 CJZ131102:CKA131209 CTV131102:CTW131209 DDR131102:DDS131209 DNN131102:DNO131209 DXJ131102:DXK131209 EHF131102:EHG131209 ERB131102:ERC131209 FAX131102:FAY131209 FKT131102:FKU131209 FUP131102:FUQ131209 GEL131102:GEM131209 GOH131102:GOI131209 GYD131102:GYE131209 HHZ131102:HIA131209 HRV131102:HRW131209 IBR131102:IBS131209 ILN131102:ILO131209 IVJ131102:IVK131209 JFF131102:JFG131209 JPB131102:JPC131209 JYX131102:JYY131209 KIT131102:KIU131209 KSP131102:KSQ131209 LCL131102:LCM131209 LMH131102:LMI131209 LWD131102:LWE131209 MFZ131102:MGA131209 MPV131102:MPW131209 MZR131102:MZS131209 NJN131102:NJO131209 NTJ131102:NTK131209 ODF131102:ODG131209 ONB131102:ONC131209 OWX131102:OWY131209 PGT131102:PGU131209 PQP131102:PQQ131209 QAL131102:QAM131209 QKH131102:QKI131209 QUD131102:QUE131209 RDZ131102:REA131209 RNV131102:RNW131209 RXR131102:RXS131209 SHN131102:SHO131209 SRJ131102:SRK131209 TBF131102:TBG131209 TLB131102:TLC131209 TUX131102:TUY131209 UET131102:UEU131209 UOP131102:UOQ131209 UYL131102:UYM131209 VIH131102:VII131209 VSD131102:VSE131209 WBZ131102:WCA131209 WLV131102:WLW131209 WVR131102:WVS131209 D196638:G196745 JF196638:JG196745 TB196638:TC196745 ACX196638:ACY196745 AMT196638:AMU196745 AWP196638:AWQ196745 BGL196638:BGM196745 BQH196638:BQI196745 CAD196638:CAE196745 CJZ196638:CKA196745 CTV196638:CTW196745 DDR196638:DDS196745 DNN196638:DNO196745 DXJ196638:DXK196745 EHF196638:EHG196745 ERB196638:ERC196745 FAX196638:FAY196745 FKT196638:FKU196745 FUP196638:FUQ196745 GEL196638:GEM196745 GOH196638:GOI196745 GYD196638:GYE196745 HHZ196638:HIA196745 HRV196638:HRW196745 IBR196638:IBS196745 ILN196638:ILO196745 IVJ196638:IVK196745 JFF196638:JFG196745 JPB196638:JPC196745 JYX196638:JYY196745 KIT196638:KIU196745 KSP196638:KSQ196745 LCL196638:LCM196745 LMH196638:LMI196745 LWD196638:LWE196745 MFZ196638:MGA196745 MPV196638:MPW196745 MZR196638:MZS196745 NJN196638:NJO196745 NTJ196638:NTK196745 ODF196638:ODG196745 ONB196638:ONC196745 OWX196638:OWY196745 PGT196638:PGU196745 PQP196638:PQQ196745 QAL196638:QAM196745 QKH196638:QKI196745 QUD196638:QUE196745 RDZ196638:REA196745 RNV196638:RNW196745 RXR196638:RXS196745 SHN196638:SHO196745 SRJ196638:SRK196745 TBF196638:TBG196745 TLB196638:TLC196745 TUX196638:TUY196745 UET196638:UEU196745 UOP196638:UOQ196745 UYL196638:UYM196745 VIH196638:VII196745 VSD196638:VSE196745 WBZ196638:WCA196745 WLV196638:WLW196745 WVR196638:WVS196745 D262174:G262281 JF262174:JG262281 TB262174:TC262281 ACX262174:ACY262281 AMT262174:AMU262281 AWP262174:AWQ262281 BGL262174:BGM262281 BQH262174:BQI262281 CAD262174:CAE262281 CJZ262174:CKA262281 CTV262174:CTW262281 DDR262174:DDS262281 DNN262174:DNO262281 DXJ262174:DXK262281 EHF262174:EHG262281 ERB262174:ERC262281 FAX262174:FAY262281 FKT262174:FKU262281 FUP262174:FUQ262281 GEL262174:GEM262281 GOH262174:GOI262281 GYD262174:GYE262281 HHZ262174:HIA262281 HRV262174:HRW262281 IBR262174:IBS262281 ILN262174:ILO262281 IVJ262174:IVK262281 JFF262174:JFG262281 JPB262174:JPC262281 JYX262174:JYY262281 KIT262174:KIU262281 KSP262174:KSQ262281 LCL262174:LCM262281 LMH262174:LMI262281 LWD262174:LWE262281 MFZ262174:MGA262281 MPV262174:MPW262281 MZR262174:MZS262281 NJN262174:NJO262281 NTJ262174:NTK262281 ODF262174:ODG262281 ONB262174:ONC262281 OWX262174:OWY262281 PGT262174:PGU262281 PQP262174:PQQ262281 QAL262174:QAM262281 QKH262174:QKI262281 QUD262174:QUE262281 RDZ262174:REA262281 RNV262174:RNW262281 RXR262174:RXS262281 SHN262174:SHO262281 SRJ262174:SRK262281 TBF262174:TBG262281 TLB262174:TLC262281 TUX262174:TUY262281 UET262174:UEU262281 UOP262174:UOQ262281 UYL262174:UYM262281 VIH262174:VII262281 VSD262174:VSE262281 WBZ262174:WCA262281 WLV262174:WLW262281 WVR262174:WVS262281 D327710:G327817 JF327710:JG327817 TB327710:TC327817 ACX327710:ACY327817 AMT327710:AMU327817 AWP327710:AWQ327817 BGL327710:BGM327817 BQH327710:BQI327817 CAD327710:CAE327817 CJZ327710:CKA327817 CTV327710:CTW327817 DDR327710:DDS327817 DNN327710:DNO327817 DXJ327710:DXK327817 EHF327710:EHG327817 ERB327710:ERC327817 FAX327710:FAY327817 FKT327710:FKU327817 FUP327710:FUQ327817 GEL327710:GEM327817 GOH327710:GOI327817 GYD327710:GYE327817 HHZ327710:HIA327817 HRV327710:HRW327817 IBR327710:IBS327817 ILN327710:ILO327817 IVJ327710:IVK327817 JFF327710:JFG327817 JPB327710:JPC327817 JYX327710:JYY327817 KIT327710:KIU327817 KSP327710:KSQ327817 LCL327710:LCM327817 LMH327710:LMI327817 LWD327710:LWE327817 MFZ327710:MGA327817 MPV327710:MPW327817 MZR327710:MZS327817 NJN327710:NJO327817 NTJ327710:NTK327817 ODF327710:ODG327817 ONB327710:ONC327817 OWX327710:OWY327817 PGT327710:PGU327817 PQP327710:PQQ327817 QAL327710:QAM327817 QKH327710:QKI327817 QUD327710:QUE327817 RDZ327710:REA327817 RNV327710:RNW327817 RXR327710:RXS327817 SHN327710:SHO327817 SRJ327710:SRK327817 TBF327710:TBG327817 TLB327710:TLC327817 TUX327710:TUY327817 UET327710:UEU327817 UOP327710:UOQ327817 UYL327710:UYM327817 VIH327710:VII327817 VSD327710:VSE327817 WBZ327710:WCA327817 WLV327710:WLW327817 WVR327710:WVS327817 D393246:G393353 JF393246:JG393353 TB393246:TC393353 ACX393246:ACY393353 AMT393246:AMU393353 AWP393246:AWQ393353 BGL393246:BGM393353 BQH393246:BQI393353 CAD393246:CAE393353 CJZ393246:CKA393353 CTV393246:CTW393353 DDR393246:DDS393353 DNN393246:DNO393353 DXJ393246:DXK393353 EHF393246:EHG393353 ERB393246:ERC393353 FAX393246:FAY393353 FKT393246:FKU393353 FUP393246:FUQ393353 GEL393246:GEM393353 GOH393246:GOI393353 GYD393246:GYE393353 HHZ393246:HIA393353 HRV393246:HRW393353 IBR393246:IBS393353 ILN393246:ILO393353 IVJ393246:IVK393353 JFF393246:JFG393353 JPB393246:JPC393353 JYX393246:JYY393353 KIT393246:KIU393353 KSP393246:KSQ393353 LCL393246:LCM393353 LMH393246:LMI393353 LWD393246:LWE393353 MFZ393246:MGA393353 MPV393246:MPW393353 MZR393246:MZS393353 NJN393246:NJO393353 NTJ393246:NTK393353 ODF393246:ODG393353 ONB393246:ONC393353 OWX393246:OWY393353 PGT393246:PGU393353 PQP393246:PQQ393353 QAL393246:QAM393353 QKH393246:QKI393353 QUD393246:QUE393353 RDZ393246:REA393353 RNV393246:RNW393353 RXR393246:RXS393353 SHN393246:SHO393353 SRJ393246:SRK393353 TBF393246:TBG393353 TLB393246:TLC393353 TUX393246:TUY393353 UET393246:UEU393353 UOP393246:UOQ393353 UYL393246:UYM393353 VIH393246:VII393353 VSD393246:VSE393353 WBZ393246:WCA393353 WLV393246:WLW393353 WVR393246:WVS393353 D458782:G458889 JF458782:JG458889 TB458782:TC458889 ACX458782:ACY458889 AMT458782:AMU458889 AWP458782:AWQ458889 BGL458782:BGM458889 BQH458782:BQI458889 CAD458782:CAE458889 CJZ458782:CKA458889 CTV458782:CTW458889 DDR458782:DDS458889 DNN458782:DNO458889 DXJ458782:DXK458889 EHF458782:EHG458889 ERB458782:ERC458889 FAX458782:FAY458889 FKT458782:FKU458889 FUP458782:FUQ458889 GEL458782:GEM458889 GOH458782:GOI458889 GYD458782:GYE458889 HHZ458782:HIA458889 HRV458782:HRW458889 IBR458782:IBS458889 ILN458782:ILO458889 IVJ458782:IVK458889 JFF458782:JFG458889 JPB458782:JPC458889 JYX458782:JYY458889 KIT458782:KIU458889 KSP458782:KSQ458889 LCL458782:LCM458889 LMH458782:LMI458889 LWD458782:LWE458889 MFZ458782:MGA458889 MPV458782:MPW458889 MZR458782:MZS458889 NJN458782:NJO458889 NTJ458782:NTK458889 ODF458782:ODG458889 ONB458782:ONC458889 OWX458782:OWY458889 PGT458782:PGU458889 PQP458782:PQQ458889 QAL458782:QAM458889 QKH458782:QKI458889 QUD458782:QUE458889 RDZ458782:REA458889 RNV458782:RNW458889 RXR458782:RXS458889 SHN458782:SHO458889 SRJ458782:SRK458889 TBF458782:TBG458889 TLB458782:TLC458889 TUX458782:TUY458889 UET458782:UEU458889 UOP458782:UOQ458889 UYL458782:UYM458889 VIH458782:VII458889 VSD458782:VSE458889 WBZ458782:WCA458889 WLV458782:WLW458889 WVR458782:WVS458889 D524318:G524425 JF524318:JG524425 TB524318:TC524425 ACX524318:ACY524425 AMT524318:AMU524425 AWP524318:AWQ524425 BGL524318:BGM524425 BQH524318:BQI524425 CAD524318:CAE524425 CJZ524318:CKA524425 CTV524318:CTW524425 DDR524318:DDS524425 DNN524318:DNO524425 DXJ524318:DXK524425 EHF524318:EHG524425 ERB524318:ERC524425 FAX524318:FAY524425 FKT524318:FKU524425 FUP524318:FUQ524425 GEL524318:GEM524425 GOH524318:GOI524425 GYD524318:GYE524425 HHZ524318:HIA524425 HRV524318:HRW524425 IBR524318:IBS524425 ILN524318:ILO524425 IVJ524318:IVK524425 JFF524318:JFG524425 JPB524318:JPC524425 JYX524318:JYY524425 KIT524318:KIU524425 KSP524318:KSQ524425 LCL524318:LCM524425 LMH524318:LMI524425 LWD524318:LWE524425 MFZ524318:MGA524425 MPV524318:MPW524425 MZR524318:MZS524425 NJN524318:NJO524425 NTJ524318:NTK524425 ODF524318:ODG524425 ONB524318:ONC524425 OWX524318:OWY524425 PGT524318:PGU524425 PQP524318:PQQ524425 QAL524318:QAM524425 QKH524318:QKI524425 QUD524318:QUE524425 RDZ524318:REA524425 RNV524318:RNW524425 RXR524318:RXS524425 SHN524318:SHO524425 SRJ524318:SRK524425 TBF524318:TBG524425 TLB524318:TLC524425 TUX524318:TUY524425 UET524318:UEU524425 UOP524318:UOQ524425 UYL524318:UYM524425 VIH524318:VII524425 VSD524318:VSE524425 WBZ524318:WCA524425 WLV524318:WLW524425 WVR524318:WVS524425 D589854:G589961 JF589854:JG589961 TB589854:TC589961 ACX589854:ACY589961 AMT589854:AMU589961 AWP589854:AWQ589961 BGL589854:BGM589961 BQH589854:BQI589961 CAD589854:CAE589961 CJZ589854:CKA589961 CTV589854:CTW589961 DDR589854:DDS589961 DNN589854:DNO589961 DXJ589854:DXK589961 EHF589854:EHG589961 ERB589854:ERC589961 FAX589854:FAY589961 FKT589854:FKU589961 FUP589854:FUQ589961 GEL589854:GEM589961 GOH589854:GOI589961 GYD589854:GYE589961 HHZ589854:HIA589961 HRV589854:HRW589961 IBR589854:IBS589961 ILN589854:ILO589961 IVJ589854:IVK589961 JFF589854:JFG589961 JPB589854:JPC589961 JYX589854:JYY589961 KIT589854:KIU589961 KSP589854:KSQ589961 LCL589854:LCM589961 LMH589854:LMI589961 LWD589854:LWE589961 MFZ589854:MGA589961 MPV589854:MPW589961 MZR589854:MZS589961 NJN589854:NJO589961 NTJ589854:NTK589961 ODF589854:ODG589961 ONB589854:ONC589961 OWX589854:OWY589961 PGT589854:PGU589961 PQP589854:PQQ589961 QAL589854:QAM589961 QKH589854:QKI589961 QUD589854:QUE589961 RDZ589854:REA589961 RNV589854:RNW589961 RXR589854:RXS589961 SHN589854:SHO589961 SRJ589854:SRK589961 TBF589854:TBG589961 TLB589854:TLC589961 TUX589854:TUY589961 UET589854:UEU589961 UOP589854:UOQ589961 UYL589854:UYM589961 VIH589854:VII589961 VSD589854:VSE589961 WBZ589854:WCA589961 WLV589854:WLW589961 WVR589854:WVS589961 D655390:G655497 JF655390:JG655497 TB655390:TC655497 ACX655390:ACY655497 AMT655390:AMU655497 AWP655390:AWQ655497 BGL655390:BGM655497 BQH655390:BQI655497 CAD655390:CAE655497 CJZ655390:CKA655497 CTV655390:CTW655497 DDR655390:DDS655497 DNN655390:DNO655497 DXJ655390:DXK655497 EHF655390:EHG655497 ERB655390:ERC655497 FAX655390:FAY655497 FKT655390:FKU655497 FUP655390:FUQ655497 GEL655390:GEM655497 GOH655390:GOI655497 GYD655390:GYE655497 HHZ655390:HIA655497 HRV655390:HRW655497 IBR655390:IBS655497 ILN655390:ILO655497 IVJ655390:IVK655497 JFF655390:JFG655497 JPB655390:JPC655497 JYX655390:JYY655497 KIT655390:KIU655497 KSP655390:KSQ655497 LCL655390:LCM655497 LMH655390:LMI655497 LWD655390:LWE655497 MFZ655390:MGA655497 MPV655390:MPW655497 MZR655390:MZS655497 NJN655390:NJO655497 NTJ655390:NTK655497 ODF655390:ODG655497 ONB655390:ONC655497 OWX655390:OWY655497 PGT655390:PGU655497 PQP655390:PQQ655497 QAL655390:QAM655497 QKH655390:QKI655497 QUD655390:QUE655497 RDZ655390:REA655497 RNV655390:RNW655497 RXR655390:RXS655497 SHN655390:SHO655497 SRJ655390:SRK655497 TBF655390:TBG655497 TLB655390:TLC655497 TUX655390:TUY655497 UET655390:UEU655497 UOP655390:UOQ655497 UYL655390:UYM655497 VIH655390:VII655497 VSD655390:VSE655497 WBZ655390:WCA655497 WLV655390:WLW655497 WVR655390:WVS655497 D720926:G721033 JF720926:JG721033 TB720926:TC721033 ACX720926:ACY721033 AMT720926:AMU721033 AWP720926:AWQ721033 BGL720926:BGM721033 BQH720926:BQI721033 CAD720926:CAE721033 CJZ720926:CKA721033 CTV720926:CTW721033 DDR720926:DDS721033 DNN720926:DNO721033 DXJ720926:DXK721033 EHF720926:EHG721033 ERB720926:ERC721033 FAX720926:FAY721033 FKT720926:FKU721033 FUP720926:FUQ721033 GEL720926:GEM721033 GOH720926:GOI721033 GYD720926:GYE721033 HHZ720926:HIA721033 HRV720926:HRW721033 IBR720926:IBS721033 ILN720926:ILO721033 IVJ720926:IVK721033 JFF720926:JFG721033 JPB720926:JPC721033 JYX720926:JYY721033 KIT720926:KIU721033 KSP720926:KSQ721033 LCL720926:LCM721033 LMH720926:LMI721033 LWD720926:LWE721033 MFZ720926:MGA721033 MPV720926:MPW721033 MZR720926:MZS721033 NJN720926:NJO721033 NTJ720926:NTK721033 ODF720926:ODG721033 ONB720926:ONC721033 OWX720926:OWY721033 PGT720926:PGU721033 PQP720926:PQQ721033 QAL720926:QAM721033 QKH720926:QKI721033 QUD720926:QUE721033 RDZ720926:REA721033 RNV720926:RNW721033 RXR720926:RXS721033 SHN720926:SHO721033 SRJ720926:SRK721033 TBF720926:TBG721033 TLB720926:TLC721033 TUX720926:TUY721033 UET720926:UEU721033 UOP720926:UOQ721033 UYL720926:UYM721033 VIH720926:VII721033 VSD720926:VSE721033 WBZ720926:WCA721033 WLV720926:WLW721033 WVR720926:WVS721033 D786462:G786569 JF786462:JG786569 TB786462:TC786569 ACX786462:ACY786569 AMT786462:AMU786569 AWP786462:AWQ786569 BGL786462:BGM786569 BQH786462:BQI786569 CAD786462:CAE786569 CJZ786462:CKA786569 CTV786462:CTW786569 DDR786462:DDS786569 DNN786462:DNO786569 DXJ786462:DXK786569 EHF786462:EHG786569 ERB786462:ERC786569 FAX786462:FAY786569 FKT786462:FKU786569 FUP786462:FUQ786569 GEL786462:GEM786569 GOH786462:GOI786569 GYD786462:GYE786569 HHZ786462:HIA786569 HRV786462:HRW786569 IBR786462:IBS786569 ILN786462:ILO786569 IVJ786462:IVK786569 JFF786462:JFG786569 JPB786462:JPC786569 JYX786462:JYY786569 KIT786462:KIU786569 KSP786462:KSQ786569 LCL786462:LCM786569 LMH786462:LMI786569 LWD786462:LWE786569 MFZ786462:MGA786569 MPV786462:MPW786569 MZR786462:MZS786569 NJN786462:NJO786569 NTJ786462:NTK786569 ODF786462:ODG786569 ONB786462:ONC786569 OWX786462:OWY786569 PGT786462:PGU786569 PQP786462:PQQ786569 QAL786462:QAM786569 QKH786462:QKI786569 QUD786462:QUE786569 RDZ786462:REA786569 RNV786462:RNW786569 RXR786462:RXS786569 SHN786462:SHO786569 SRJ786462:SRK786569 TBF786462:TBG786569 TLB786462:TLC786569 TUX786462:TUY786569 UET786462:UEU786569 UOP786462:UOQ786569 UYL786462:UYM786569 VIH786462:VII786569 VSD786462:VSE786569 WBZ786462:WCA786569 WLV786462:WLW786569 WVR786462:WVS786569 D851998:G852105 JF851998:JG852105 TB851998:TC852105 ACX851998:ACY852105 AMT851998:AMU852105 AWP851998:AWQ852105 BGL851998:BGM852105 BQH851998:BQI852105 CAD851998:CAE852105 CJZ851998:CKA852105 CTV851998:CTW852105 DDR851998:DDS852105 DNN851998:DNO852105 DXJ851998:DXK852105 EHF851998:EHG852105 ERB851998:ERC852105 FAX851998:FAY852105 FKT851998:FKU852105 FUP851998:FUQ852105 GEL851998:GEM852105 GOH851998:GOI852105 GYD851998:GYE852105 HHZ851998:HIA852105 HRV851998:HRW852105 IBR851998:IBS852105 ILN851998:ILO852105 IVJ851998:IVK852105 JFF851998:JFG852105 JPB851998:JPC852105 JYX851998:JYY852105 KIT851998:KIU852105 KSP851998:KSQ852105 LCL851998:LCM852105 LMH851998:LMI852105 LWD851998:LWE852105 MFZ851998:MGA852105 MPV851998:MPW852105 MZR851998:MZS852105 NJN851998:NJO852105 NTJ851998:NTK852105 ODF851998:ODG852105 ONB851998:ONC852105 OWX851998:OWY852105 PGT851998:PGU852105 PQP851998:PQQ852105 QAL851998:QAM852105 QKH851998:QKI852105 QUD851998:QUE852105 RDZ851998:REA852105 RNV851998:RNW852105 RXR851998:RXS852105 SHN851998:SHO852105 SRJ851998:SRK852105 TBF851998:TBG852105 TLB851998:TLC852105 TUX851998:TUY852105 UET851998:UEU852105 UOP851998:UOQ852105 UYL851998:UYM852105 VIH851998:VII852105 VSD851998:VSE852105 WBZ851998:WCA852105 WLV851998:WLW852105 WVR851998:WVS852105 D917534:G917641 JF917534:JG917641 TB917534:TC917641 ACX917534:ACY917641 AMT917534:AMU917641 AWP917534:AWQ917641 BGL917534:BGM917641 BQH917534:BQI917641 CAD917534:CAE917641 CJZ917534:CKA917641 CTV917534:CTW917641 DDR917534:DDS917641 DNN917534:DNO917641 DXJ917534:DXK917641 EHF917534:EHG917641 ERB917534:ERC917641 FAX917534:FAY917641 FKT917534:FKU917641 FUP917534:FUQ917641 GEL917534:GEM917641 GOH917534:GOI917641 GYD917534:GYE917641 HHZ917534:HIA917641 HRV917534:HRW917641 IBR917534:IBS917641 ILN917534:ILO917641 IVJ917534:IVK917641 JFF917534:JFG917641 JPB917534:JPC917641 JYX917534:JYY917641 KIT917534:KIU917641 KSP917534:KSQ917641 LCL917534:LCM917641 LMH917534:LMI917641 LWD917534:LWE917641 MFZ917534:MGA917641 MPV917534:MPW917641 MZR917534:MZS917641 NJN917534:NJO917641 NTJ917534:NTK917641 ODF917534:ODG917641 ONB917534:ONC917641 OWX917534:OWY917641 PGT917534:PGU917641 PQP917534:PQQ917641 QAL917534:QAM917641 QKH917534:QKI917641 QUD917534:QUE917641 RDZ917534:REA917641 RNV917534:RNW917641 RXR917534:RXS917641 SHN917534:SHO917641 SRJ917534:SRK917641 TBF917534:TBG917641 TLB917534:TLC917641 TUX917534:TUY917641 UET917534:UEU917641 UOP917534:UOQ917641 UYL917534:UYM917641 VIH917534:VII917641 VSD917534:VSE917641 WBZ917534:WCA917641 WLV917534:WLW917641 WVR917534:WVS917641 D983070:G983177 JF983070:JG983177 TB983070:TC983177 ACX983070:ACY983177 AMT983070:AMU983177 AWP983070:AWQ983177 BGL983070:BGM983177 BQH983070:BQI983177 CAD983070:CAE983177 CJZ983070:CKA983177 CTV983070:CTW983177 DDR983070:DDS983177 DNN983070:DNO983177 DXJ983070:DXK983177 EHF983070:EHG983177 ERB983070:ERC983177 FAX983070:FAY983177 FKT983070:FKU983177 FUP983070:FUQ983177 GEL983070:GEM983177 GOH983070:GOI983177 GYD983070:GYE983177 HHZ983070:HIA983177 HRV983070:HRW983177 IBR983070:IBS983177 ILN983070:ILO983177 IVJ983070:IVK983177 JFF983070:JFG983177 JPB983070:JPC983177 JYX983070:JYY983177 KIT983070:KIU983177 KSP983070:KSQ983177 LCL983070:LCM983177 LMH983070:LMI983177 LWD983070:LWE983177 MFZ983070:MGA983177 MPV983070:MPW983177 MZR983070:MZS983177 NJN983070:NJO983177 NTJ983070:NTK983177 ODF983070:ODG983177 ONB983070:ONC983177 OWX983070:OWY983177 PGT983070:PGU983177 PQP983070:PQQ983177 QAL983070:QAM983177 QKH983070:QKI983177 QUD983070:QUE983177 RDZ983070:REA983177 RNV983070:RNW983177 RXR983070:RXS983177 SHN983070:SHO983177 SRJ983070:SRK983177 TBF983070:TBG983177 TLB983070:TLC983177 TUX983070:TUY983177 UET983070:UEU983177 UOP983070:UOQ983177 UYL983070:UYM983177 VIH983070:VII983177 VSD983070:VSE983177 WBZ983070:WCA983177 WLV983070:WLW983177 D30:G137" xr:uid="{00000000-0002-0000-0000-000000000000}">
      <formula1>Продукт</formula1>
    </dataValidation>
  </dataValidations>
  <pageMargins left="0.25" right="0.25" top="0.75" bottom="0.75" header="0.3" footer="0.3"/>
  <pageSetup paperSize="9" scale="53" fitToHeight="0" orientation="landscape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9"/>
  <sheetViews>
    <sheetView workbookViewId="0">
      <selection activeCell="AA51" sqref="AA51"/>
    </sheetView>
  </sheetViews>
  <sheetFormatPr defaultRowHeight="15"/>
  <sheetData>
    <row r="1" spans="1:17" ht="66.75" customHeight="1" thickBot="1">
      <c r="A1" s="133"/>
      <c r="B1" s="134"/>
      <c r="C1" s="134"/>
      <c r="D1" s="134"/>
      <c r="E1" s="167" t="s">
        <v>0</v>
      </c>
      <c r="F1" s="168"/>
      <c r="G1" s="169"/>
      <c r="H1" s="169"/>
      <c r="I1" s="170"/>
    </row>
    <row r="2" spans="1:17" ht="35.25" customHeight="1">
      <c r="A2" s="171" t="s">
        <v>37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</row>
    <row r="3" spans="1:17">
      <c r="A3" s="18"/>
    </row>
    <row r="4" spans="1:17" ht="18.75">
      <c r="A4" s="17" t="s">
        <v>45</v>
      </c>
    </row>
    <row r="5" spans="1:17" ht="18.75">
      <c r="A5" s="165" t="s">
        <v>39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</row>
    <row r="6" spans="1:17" ht="18.75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</row>
    <row r="7" spans="1:17" ht="36" customHeight="1">
      <c r="A7" s="166" t="s">
        <v>40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</row>
    <row r="13" spans="1:17" ht="37.5" customHeight="1">
      <c r="A13" s="166" t="s">
        <v>41</v>
      </c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</row>
    <row r="23" spans="1:16" ht="18.75">
      <c r="A23" s="165" t="s">
        <v>42</v>
      </c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</row>
    <row r="40" spans="1:17" ht="35.25" customHeight="1">
      <c r="A40" s="166" t="s">
        <v>35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</row>
    <row r="59" spans="1:17" ht="73.5" customHeight="1">
      <c r="A59" s="166" t="s">
        <v>43</v>
      </c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</row>
  </sheetData>
  <mergeCells count="9">
    <mergeCell ref="A5:P5"/>
    <mergeCell ref="A13:Q13"/>
    <mergeCell ref="A40:Q40"/>
    <mergeCell ref="A59:Q59"/>
    <mergeCell ref="A1:D1"/>
    <mergeCell ref="E1:I1"/>
    <mergeCell ref="A7:P7"/>
    <mergeCell ref="A23:P23"/>
    <mergeCell ref="A2:P2"/>
  </mergeCells>
  <pageMargins left="0.7" right="0.7" top="0.75" bottom="0.75" header="0.3" footer="0.3"/>
  <pageSetup paperSize="9" scale="7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Продоскрин ИФА-Пенициллин</vt:lpstr>
      <vt:lpstr>Лист2</vt:lpstr>
      <vt:lpstr>'Продоскрин ИФА-Пенициллин'!Продукт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2025-06-20T07:47:05Z</cp:lastPrinted>
  <dcterms:created xsi:type="dcterms:W3CDTF">2023-01-31T10:49:39Z</dcterms:created>
  <dcterms:modified xsi:type="dcterms:W3CDTF">2025-06-20T07:51:14Z</dcterms:modified>
</cp:coreProperties>
</file>