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граммы ТЕСТЫ\Мультискрин\Микотоксины\Файлы для 1 и 2 измерений без неопр и повт\"/>
    </mc:Choice>
  </mc:AlternateContent>
  <xr:revisionPtr revIDLastSave="0" documentId="13_ncr:1_{C8F84EE1-1683-4F58-A55B-F1CAD95CF3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 измерения" sheetId="1" r:id="rId1"/>
    <sheet name="1 измерение" sheetId="2" r:id="rId2"/>
    <sheet name="Инструкц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31" i="1"/>
  <c r="F10" i="2" l="1"/>
  <c r="F11" i="2"/>
  <c r="G11" i="2"/>
  <c r="H11" i="2"/>
  <c r="F12" i="2"/>
  <c r="H12" i="2" s="1"/>
  <c r="G12" i="2"/>
  <c r="F13" i="2"/>
  <c r="H13" i="2" s="1"/>
  <c r="G13" i="2"/>
  <c r="F14" i="2"/>
  <c r="G14" i="2"/>
  <c r="H14" i="2"/>
  <c r="H27" i="2"/>
  <c r="I27" i="2" s="1"/>
  <c r="J27" i="2" s="1"/>
  <c r="I22" i="2"/>
  <c r="I23" i="2"/>
  <c r="I24" i="2"/>
  <c r="I25" i="2"/>
  <c r="H28" i="2"/>
  <c r="I28" i="2" s="1"/>
  <c r="J28" i="2" s="1"/>
  <c r="H29" i="2"/>
  <c r="H30" i="2"/>
  <c r="I30" i="2"/>
  <c r="J30" i="2" s="1"/>
  <c r="H31" i="2"/>
  <c r="H32" i="2"/>
  <c r="I32" i="2" s="1"/>
  <c r="J32" i="2" s="1"/>
  <c r="J33" i="2"/>
  <c r="H34" i="2"/>
  <c r="I34" i="2"/>
  <c r="J34" i="2"/>
  <c r="H35" i="2"/>
  <c r="I35" i="2"/>
  <c r="J35" i="2" s="1"/>
  <c r="H36" i="2"/>
  <c r="I36" i="2"/>
  <c r="J36" i="2" s="1"/>
  <c r="H37" i="2"/>
  <c r="I37" i="2"/>
  <c r="J37" i="2" s="1"/>
  <c r="H38" i="2"/>
  <c r="I38" i="2"/>
  <c r="J38" i="2" s="1"/>
  <c r="H39" i="2"/>
  <c r="I39" i="2"/>
  <c r="J39" i="2" s="1"/>
  <c r="H40" i="2"/>
  <c r="I40" i="2"/>
  <c r="J40" i="2"/>
  <c r="H41" i="2"/>
  <c r="I41" i="2"/>
  <c r="J41" i="2" s="1"/>
  <c r="H42" i="2"/>
  <c r="I42" i="2"/>
  <c r="J42" i="2"/>
  <c r="H43" i="2"/>
  <c r="I43" i="2"/>
  <c r="J43" i="2" s="1"/>
  <c r="H44" i="2"/>
  <c r="I44" i="2" s="1"/>
  <c r="J44" i="2" s="1"/>
  <c r="I29" i="2" l="1"/>
  <c r="J29" i="2" s="1"/>
  <c r="I31" i="2"/>
  <c r="J31" i="2" s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K30" i="1" l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K60" i="1"/>
  <c r="K62" i="1"/>
  <c r="K64" i="1"/>
  <c r="K66" i="1"/>
  <c r="K28" i="1"/>
  <c r="F33" i="1" l="1"/>
  <c r="F35" i="1"/>
  <c r="F37" i="1"/>
  <c r="F39" i="1"/>
  <c r="F41" i="1"/>
  <c r="F43" i="1"/>
  <c r="F45" i="1"/>
  <c r="F47" i="1"/>
  <c r="F49" i="1"/>
  <c r="F51" i="1"/>
  <c r="F53" i="1"/>
  <c r="F55" i="1"/>
  <c r="F57" i="1"/>
  <c r="F59" i="1"/>
  <c r="F61" i="1"/>
  <c r="F63" i="1"/>
  <c r="F65" i="1"/>
  <c r="F27" i="1"/>
  <c r="I27" i="1" l="1"/>
  <c r="I31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29" i="1"/>
  <c r="G25" i="1"/>
  <c r="G24" i="1"/>
  <c r="G23" i="1"/>
  <c r="G22" i="1"/>
  <c r="G21" i="1"/>
  <c r="H14" i="1"/>
  <c r="G14" i="1"/>
  <c r="F14" i="1"/>
  <c r="I14" i="1" s="1"/>
  <c r="H13" i="1"/>
  <c r="G13" i="1"/>
  <c r="F13" i="1"/>
  <c r="I13" i="1" s="1"/>
  <c r="H12" i="1"/>
  <c r="G12" i="1"/>
  <c r="F12" i="1"/>
  <c r="I12" i="1" s="1"/>
  <c r="H11" i="1"/>
  <c r="G11" i="1"/>
  <c r="F11" i="1"/>
  <c r="I11" i="1" s="1"/>
  <c r="G10" i="1"/>
  <c r="F10" i="1"/>
  <c r="H30" i="1" l="1"/>
  <c r="H34" i="1"/>
  <c r="I34" i="1" s="1"/>
  <c r="H38" i="1"/>
  <c r="I38" i="1" s="1"/>
  <c r="H39" i="1"/>
  <c r="J39" i="1" s="1"/>
  <c r="H32" i="1"/>
  <c r="H40" i="1"/>
  <c r="J40" i="1" s="1"/>
  <c r="H29" i="1"/>
  <c r="J29" i="1" s="1"/>
  <c r="H33" i="1"/>
  <c r="H37" i="1"/>
  <c r="H31" i="1"/>
  <c r="J31" i="1" s="1"/>
  <c r="H35" i="1"/>
  <c r="J35" i="1" s="1"/>
  <c r="H27" i="1"/>
  <c r="J27" i="1" s="1"/>
  <c r="H28" i="1"/>
  <c r="H36" i="1"/>
  <c r="I30" i="1"/>
  <c r="H22" i="1"/>
  <c r="H23" i="1"/>
  <c r="I28" i="1"/>
  <c r="I36" i="1"/>
  <c r="J37" i="1"/>
  <c r="I40" i="1"/>
  <c r="J41" i="1"/>
  <c r="I42" i="1"/>
  <c r="J43" i="1"/>
  <c r="I44" i="1"/>
  <c r="J45" i="1"/>
  <c r="I46" i="1"/>
  <c r="J47" i="1"/>
  <c r="I48" i="1"/>
  <c r="J49" i="1"/>
  <c r="I50" i="1"/>
  <c r="J51" i="1"/>
  <c r="I52" i="1"/>
  <c r="J53" i="1"/>
  <c r="I54" i="1"/>
  <c r="J55" i="1"/>
  <c r="I56" i="1"/>
  <c r="J57" i="1"/>
  <c r="I58" i="1"/>
  <c r="J59" i="1"/>
  <c r="I60" i="1"/>
  <c r="J61" i="1"/>
  <c r="I62" i="1"/>
  <c r="J63" i="1"/>
  <c r="I64" i="1"/>
  <c r="J65" i="1"/>
  <c r="I66" i="1"/>
  <c r="J64" i="1"/>
  <c r="J60" i="1"/>
  <c r="J56" i="1"/>
  <c r="J52" i="1"/>
  <c r="J50" i="1"/>
  <c r="J48" i="1"/>
  <c r="J44" i="1"/>
  <c r="J36" i="1"/>
  <c r="J34" i="1"/>
  <c r="H24" i="1"/>
  <c r="J23" i="1"/>
  <c r="L23" i="1" s="1"/>
  <c r="H25" i="1"/>
  <c r="J25" i="1" s="1"/>
  <c r="L25" i="1" s="1"/>
  <c r="J22" i="1"/>
  <c r="L22" i="1" s="1"/>
  <c r="J24" i="1"/>
  <c r="L24" i="1" s="1"/>
  <c r="J33" i="1"/>
  <c r="K33" i="1" l="1"/>
  <c r="K49" i="1"/>
  <c r="K63" i="1"/>
  <c r="K59" i="1"/>
  <c r="K55" i="1"/>
  <c r="K51" i="1"/>
  <c r="K47" i="1"/>
  <c r="K43" i="1"/>
  <c r="K39" i="1"/>
  <c r="K35" i="1"/>
  <c r="J46" i="1"/>
  <c r="L45" i="1" s="1"/>
  <c r="J42" i="1"/>
  <c r="L41" i="1" s="1"/>
  <c r="J38" i="1"/>
  <c r="L37" i="1" s="1"/>
  <c r="J28" i="1"/>
  <c r="L27" i="1" s="1"/>
  <c r="L33" i="1"/>
  <c r="J30" i="1"/>
  <c r="K29" i="1" s="1"/>
  <c r="L35" i="1"/>
  <c r="L49" i="1"/>
  <c r="L63" i="1"/>
  <c r="L59" i="1"/>
  <c r="L55" i="1"/>
  <c r="L51" i="1"/>
  <c r="L47" i="1"/>
  <c r="L43" i="1"/>
  <c r="L39" i="1"/>
  <c r="J54" i="1"/>
  <c r="K53" i="1" s="1"/>
  <c r="J58" i="1"/>
  <c r="K57" i="1" s="1"/>
  <c r="J62" i="1"/>
  <c r="K61" i="1" s="1"/>
  <c r="J66" i="1"/>
  <c r="L65" i="1" s="1"/>
  <c r="J32" i="1"/>
  <c r="L31" i="1" s="1"/>
  <c r="I32" i="1"/>
  <c r="K31" i="1" l="1"/>
  <c r="K41" i="1"/>
  <c r="K45" i="1"/>
  <c r="K37" i="1"/>
  <c r="K65" i="1"/>
  <c r="K27" i="1"/>
  <c r="L29" i="1"/>
  <c r="L53" i="1"/>
  <c r="L57" i="1"/>
  <c r="L61" i="1"/>
</calcChain>
</file>

<file path=xl/sharedStrings.xml><?xml version="1.0" encoding="utf-8"?>
<sst xmlns="http://schemas.openxmlformats.org/spreadsheetml/2006/main" count="119" uniqueCount="65">
  <si>
    <t>Продукт</t>
  </si>
  <si>
    <t>Предел повтряемости r, %</t>
  </si>
  <si>
    <t>Относительная расширенная неопределенность U, %</t>
  </si>
  <si>
    <t>Исполнитель</t>
  </si>
  <si>
    <t>Дата:</t>
  </si>
  <si>
    <t>зерно</t>
  </si>
  <si>
    <t>№ партии</t>
  </si>
  <si>
    <t>мукомольно-крупяные изделия</t>
  </si>
  <si>
    <t>хлебобулочные изделия</t>
  </si>
  <si>
    <t>Раздел I: Градуировочный график</t>
  </si>
  <si>
    <t>макаронные изделия</t>
  </si>
  <si>
    <t>Градуировочный раствор</t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</si>
  <si>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i</t>
    </r>
  </si>
  <si>
    <r>
      <t>B</t>
    </r>
    <r>
      <rPr>
        <b/>
        <vertAlign val="subscript"/>
        <sz val="10"/>
        <rFont val="Arial"/>
        <family val="2"/>
        <charset val="204"/>
      </rPr>
      <t>i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</si>
  <si>
    <t>К.В.</t>
  </si>
  <si>
    <r>
      <t>lgC</t>
    </r>
    <r>
      <rPr>
        <b/>
        <vertAlign val="subscript"/>
        <sz val="10"/>
        <rFont val="Arial"/>
        <family val="2"/>
        <charset val="204"/>
      </rPr>
      <t>i</t>
    </r>
  </si>
  <si>
    <r>
      <t xml:space="preserve">log </t>
    </r>
    <r>
      <rPr>
        <b/>
        <i/>
        <sz val="10"/>
        <rFont val="Arial"/>
        <family val="2"/>
        <charset val="204"/>
      </rPr>
      <t>it</t>
    </r>
    <r>
      <rPr>
        <b/>
        <sz val="10"/>
        <rFont val="Arial"/>
        <family val="2"/>
        <charset val="204"/>
      </rPr>
      <t xml:space="preserve"> (B</t>
    </r>
    <r>
      <rPr>
        <b/>
        <vertAlign val="subscript"/>
        <sz val="10"/>
        <rFont val="Arial"/>
        <family val="2"/>
        <charset val="204"/>
      </rPr>
      <t>i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  <r>
      <rPr>
        <b/>
        <sz val="10"/>
        <rFont val="Arial"/>
        <family val="2"/>
        <charset val="204"/>
      </rPr>
      <t>)</t>
    </r>
  </si>
  <si>
    <t>масличные культуры</t>
  </si>
  <si>
    <r>
      <t>С</t>
    </r>
    <r>
      <rPr>
        <b/>
        <vertAlign val="subscript"/>
        <sz val="10"/>
        <rFont val="Arial"/>
        <family val="2"/>
        <charset val="204"/>
      </rPr>
      <t>0</t>
    </r>
  </si>
  <si>
    <t>мкг/кг</t>
  </si>
  <si>
    <t>продукты масложировой промышленности</t>
  </si>
  <si>
    <r>
      <t>С</t>
    </r>
    <r>
      <rPr>
        <b/>
        <vertAlign val="subscript"/>
        <sz val="10"/>
        <rFont val="Arial"/>
        <family val="2"/>
        <charset val="204"/>
      </rPr>
      <t>1</t>
    </r>
  </si>
  <si>
    <t>зернобобовые культуры</t>
  </si>
  <si>
    <r>
      <t>С</t>
    </r>
    <r>
      <rPr>
        <b/>
        <vertAlign val="subscript"/>
        <sz val="10"/>
        <rFont val="Arial"/>
        <family val="2"/>
        <charset val="204"/>
      </rPr>
      <t>2</t>
    </r>
    <r>
      <rPr>
        <sz val="11"/>
        <color indexed="8"/>
        <rFont val="Calibri"/>
        <family val="2"/>
        <charset val="204"/>
      </rPr>
      <t/>
    </r>
  </si>
  <si>
    <t>корм.продукция пивоваренной промышленности</t>
  </si>
  <si>
    <r>
      <t>С</t>
    </r>
    <r>
      <rPr>
        <b/>
        <vertAlign val="subscript"/>
        <sz val="10"/>
        <rFont val="Arial"/>
        <family val="2"/>
        <charset val="204"/>
      </rPr>
      <t>3</t>
    </r>
    <r>
      <rPr>
        <sz val="11"/>
        <color indexed="8"/>
        <rFont val="Calibri"/>
        <family val="2"/>
        <charset val="204"/>
      </rPr>
      <t/>
    </r>
  </si>
  <si>
    <t>корм.продукция крахмалопаточной промышленности</t>
  </si>
  <si>
    <r>
      <t>С</t>
    </r>
    <r>
      <rPr>
        <b/>
        <vertAlign val="subscript"/>
        <sz val="10"/>
        <rFont val="Arial"/>
        <family val="2"/>
        <charset val="204"/>
      </rPr>
      <t>4</t>
    </r>
  </si>
  <si>
    <t>корм.продукция спиртового производства</t>
  </si>
  <si>
    <t>Раздел II: Расчет массовой доли охратоксина А</t>
  </si>
  <si>
    <t>№</t>
  </si>
  <si>
    <t>Наименование образца</t>
  </si>
  <si>
    <t>Группа продуктов</t>
  </si>
  <si>
    <t>Фактор разведения</t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</si>
  <si>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p</t>
    </r>
  </si>
  <si>
    <r>
      <t xml:space="preserve">log </t>
    </r>
    <r>
      <rPr>
        <b/>
        <i/>
        <sz val="10"/>
        <rFont val="Arial"/>
        <family val="2"/>
        <charset val="204"/>
      </rPr>
      <t>it</t>
    </r>
    <r>
      <rPr>
        <b/>
        <sz val="10"/>
        <rFont val="Arial"/>
        <family val="2"/>
        <charset val="204"/>
      </rPr>
      <t xml:space="preserve"> (B</t>
    </r>
    <r>
      <rPr>
        <b/>
        <vertAlign val="subscript"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  <r>
      <rPr>
        <b/>
        <sz val="10"/>
        <rFont val="Arial"/>
        <family val="2"/>
        <charset val="204"/>
      </rPr>
      <t>)</t>
    </r>
  </si>
  <si>
    <r>
      <t>C</t>
    </r>
    <r>
      <rPr>
        <b/>
        <vertAlign val="subscript"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, мкг/кг</t>
    </r>
  </si>
  <si>
    <t>Примечания</t>
  </si>
  <si>
    <t>вино</t>
  </si>
  <si>
    <t>пиво</t>
  </si>
  <si>
    <t>Определение охратоксина А. Набор "МУЛЬТИСКРИН®ОХРАТОКСИН А" (1,0- 40,0 мкг/кг)</t>
  </si>
  <si>
    <r>
      <rPr>
        <b/>
        <sz val="11"/>
        <color indexed="8"/>
        <rFont val="Arial"/>
        <family val="2"/>
        <charset val="204"/>
      </rPr>
      <t>Техническая поддержка: 
+375 (17) 336-50-54
+7 (499) 704-05-50
support@komprod.com</t>
    </r>
    <r>
      <rPr>
        <sz val="11"/>
        <color indexed="8"/>
        <rFont val="Arial"/>
        <family val="2"/>
        <charset val="204"/>
      </rPr>
      <t xml:space="preserve">
</t>
    </r>
  </si>
  <si>
    <t>корма</t>
  </si>
  <si>
    <t>Фактор</t>
  </si>
  <si>
    <r>
      <t xml:space="preserve">log </t>
    </r>
    <r>
      <rPr>
        <b/>
        <i/>
        <sz val="11"/>
        <rFont val="Arial"/>
        <family val="2"/>
        <charset val="204"/>
      </rPr>
      <t>it</t>
    </r>
    <r>
      <rPr>
        <b/>
        <sz val="11"/>
        <rFont val="Arial"/>
        <family val="2"/>
        <charset val="204"/>
      </rPr>
      <t xml:space="preserve"> (B</t>
    </r>
    <r>
      <rPr>
        <b/>
        <vertAlign val="subscript"/>
        <sz val="11"/>
        <rFont val="Arial"/>
        <family val="2"/>
        <charset val="204"/>
      </rPr>
      <t>i</t>
    </r>
    <r>
      <rPr>
        <b/>
        <sz val="11"/>
        <rFont val="Arial"/>
        <family val="2"/>
        <charset val="204"/>
      </rPr>
      <t>/B</t>
    </r>
    <r>
      <rPr>
        <b/>
        <vertAlign val="subscript"/>
        <sz val="11"/>
        <rFont val="Arial"/>
        <family val="2"/>
        <charset val="204"/>
      </rPr>
      <t>0</t>
    </r>
    <r>
      <rPr>
        <b/>
        <sz val="11"/>
        <rFont val="Arial"/>
        <family val="2"/>
        <charset val="204"/>
      </rPr>
      <t>)</t>
    </r>
  </si>
  <si>
    <r>
      <t>lgC</t>
    </r>
    <r>
      <rPr>
        <b/>
        <vertAlign val="subscript"/>
        <sz val="11"/>
        <rFont val="Arial"/>
        <family val="2"/>
        <charset val="204"/>
      </rPr>
      <t>i</t>
    </r>
  </si>
  <si>
    <t>Инструкция по обработке результатов</t>
  </si>
  <si>
    <t>1) Назначение</t>
  </si>
  <si>
    <t>2) Минимальные системные требования</t>
  </si>
  <si>
    <t>Наличие на персональном компьютере установленной программы Microsoft Excel пакета Microsoft Office.</t>
  </si>
  <si>
    <t>3) Инсталляция шаблона</t>
  </si>
  <si>
    <t>4) Измерение оптической плотности в лунках</t>
  </si>
  <si>
    <t>Значения оптической плотности в каждой лунке измеряют на микропланшетном фотометре при длине волны 450 нм в соответствии с руководством по эксплуатации прибора.</t>
  </si>
  <si>
    <t>5) Обработка результатов иммуноферментного анализа</t>
  </si>
  <si>
    <t>6. Результаты, которые можно использовать для самопроверки</t>
  </si>
  <si>
    <t>7. Сохранение результатов и вывод на печать</t>
  </si>
  <si>
    <t>Обработанные с помощью шаблона результаты можно сохранить, выбрав в меню «Файл» команду «Сохранить». Вывод результатов на печать производится после выбора команды «Печать» в пункте меню «Файл».</t>
  </si>
  <si>
    <t>С, мкг/кг</t>
  </si>
  <si>
    <t>Шаблон, созданный в программе Microsoft Excel, предназначен для обработки результатов определения охратоксинов  в зерновых, зернобобовых культурах и продуктах их переработки  методом иммуноферментного анализа с использованием тест-системы МУЛЬТИСКРИН®Охратоксин. Программа Microsoft Excel автоматически обрабатывает данные, введенные вручную в шаблон.</t>
  </si>
  <si>
    <t>На персональном компьютере создать папку для хранения результатов, в которую скопировать шаблон Мультискрин-Охратоксин.xls.</t>
  </si>
  <si>
    <t>Открыть документ Мультискрин-Охратоксин.xls и сохранить его в папке для хранения результатов под именем, включающем дату проведения анализа.
Строки напротив ячеек «Исполнитель» и «Дата» заполнить соответствующим образом. Напротив ячейки «№ партии» написать номер партии использованной тест-системы, указанный в паспорте и на коробке тест-системы. В пустой строке допускается внесение примечаний, относящихся к постановке эксперимента.</t>
  </si>
  <si>
    <t>1) Сравнить значения концентраций стандартов в таблице с указанными в паспорте используемой тест-системы. 
2) Под строкой «Оптическая плотность Bi» внести в ячейки таблицы значения оптической плотности, полученные в лунках с соответствующими градуировочными растворами. Напротив каждого градуировочного раствора должно быть указано два значения оптической плотности.
3) Остальные ячейки таблицы заполняются автоматически. Программа рассчитывает значения К.В. и Bi/B0.
К.В. – коэффициент вариации между параллельными результатами измерений одного образца, %.
Bi/B0 – доля оптической плотности в лунках с градуировочными растворами С0-С4 относительно лунок с градуировочным раствором С0 с концентрацией охратоксина 0,0 мкг/кг, %.
4) Программа Excel с применением шаблона автоматически строит градуировочную зависимость Bi/B0, % от концентрации  охратоксина.</t>
  </si>
  <si>
    <t>Раздел II: Расчет массовой доли охратоксина в пробах</t>
  </si>
  <si>
    <t xml:space="preserve">1) В строки столбца «Наименование образца» ввести наименование исследуемого образца. В строки столбца «Оптическая плотность Bр» вести значения оптической плотности, полученные в лунках с анализируемыми пробами. 
2) Остальные ячейки таблицы заполняются автоматически. Программа рассчитывает величину Bр/B0, % и К.В., % для исследуемого образца, с использованием градуировочного графика вычисляет массовую долю охратоксина в параллельных пробах образца Cx  мкг/кг.   За результат измерений принимают среднее арифметическое двух измерений, выполненных в условиях повторяемости для исследуемого образца. </t>
  </si>
  <si>
    <t xml:space="preserve">Должно выполняться соотношение В0 &gt; В1 &gt; В2 &gt; В3 &gt; В4, в котором 
В0-В4 – средние значения оптической плотности в лунках, содержащих градуировочные растворы С0-С4 с увеличивающейся концентрацией охратоксина.
Параметры ИФА для градуировочных растворов: оптическая плотность для градуировочного раствора С0 находится в диапазоне от 1,6 до 2,8 о.е., отношение В1/В0 – не более 95 %, В4/В0 – не более 35%.
Чувствительность – минимальная концентрация охратоксина в градуировочных растворах, достоверно определяемая с помощью набора, не превышает 2,0 мкг/кг.
Извлечение (открытие) добавки охратоксина в холостом образце продукта – не менее 75 %.
Повторяемость (коэффициент вариации) результатов определения охратоксина в контрольных пробах различных видов продуктов в одной постановке ИФА не превышает 15 %.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</si>
</sst>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%"/>
    <numFmt numFmtId="167" formatCode="0.000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vertAlign val="subscript"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9" tint="0.7999816888943144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vertAlign val="subscript"/>
      <sz val="1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Fill="1" applyBorder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6" xfId="0" applyFont="1" applyBorder="1"/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/>
    <xf numFmtId="0" fontId="3" fillId="0" borderId="0" xfId="0" applyFont="1" applyBorder="1" applyProtection="1">
      <protection hidden="1"/>
    </xf>
    <xf numFmtId="0" fontId="0" fillId="0" borderId="0" xfId="0" applyFont="1"/>
    <xf numFmtId="0" fontId="2" fillId="0" borderId="7" xfId="0" applyFont="1" applyBorder="1" applyAlignment="1" applyProtection="1">
      <alignment vertical="center"/>
      <protection hidden="1"/>
    </xf>
    <xf numFmtId="164" fontId="2" fillId="0" borderId="8" xfId="0" applyNumberFormat="1" applyFont="1" applyBorder="1" applyAlignment="1" applyProtection="1">
      <alignment horizontal="right" vertical="center"/>
      <protection hidden="1"/>
    </xf>
    <xf numFmtId="165" fontId="2" fillId="0" borderId="9" xfId="0" applyNumberFormat="1" applyFont="1" applyFill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locked="0"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10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2" fontId="3" fillId="0" borderId="0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2" fillId="0" borderId="11" xfId="0" applyNumberFormat="1" applyFont="1" applyBorder="1" applyAlignment="1" applyProtection="1">
      <alignment horizontal="right" vertical="center"/>
      <protection hidden="1"/>
    </xf>
    <xf numFmtId="165" fontId="3" fillId="0" borderId="0" xfId="0" applyNumberFormat="1" applyFont="1" applyFill="1" applyBorder="1" applyAlignment="1" applyProtection="1">
      <alignment horizontal="center"/>
      <protection hidden="1"/>
    </xf>
    <xf numFmtId="2" fontId="3" fillId="0" borderId="0" xfId="0" applyNumberFormat="1" applyFont="1" applyFill="1" applyBorder="1" applyAlignment="1" applyProtection="1">
      <alignment horizontal="center"/>
      <protection hidden="1"/>
    </xf>
    <xf numFmtId="165" fontId="2" fillId="0" borderId="0" xfId="0" applyNumberFormat="1" applyFont="1" applyBorder="1" applyAlignment="1" applyProtection="1">
      <alignment horizontal="right" vertical="center"/>
      <protection hidden="1"/>
    </xf>
    <xf numFmtId="167" fontId="3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Protection="1"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5" fontId="3" fillId="0" borderId="1" xfId="0" applyNumberFormat="1" applyFont="1" applyFill="1" applyBorder="1" applyAlignment="1" applyProtection="1">
      <alignment horizontal="center"/>
      <protection hidden="1"/>
    </xf>
    <xf numFmtId="2" fontId="3" fillId="0" borderId="1" xfId="0" applyNumberFormat="1" applyFont="1" applyFill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2" fontId="3" fillId="2" borderId="4" xfId="0" applyNumberFormat="1" applyFont="1" applyFill="1" applyBorder="1" applyAlignment="1" applyProtection="1">
      <alignment horizontal="center" wrapText="1"/>
      <protection locked="0" hidden="1"/>
    </xf>
    <xf numFmtId="2" fontId="3" fillId="0" borderId="2" xfId="0" applyNumberFormat="1" applyFont="1" applyBorder="1" applyAlignment="1" applyProtection="1">
      <alignment horizontal="center" vertical="center"/>
      <protection hidden="1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2" fontId="3" fillId="3" borderId="4" xfId="0" applyNumberFormat="1" applyFont="1" applyFill="1" applyBorder="1" applyAlignment="1" applyProtection="1">
      <alignment horizontal="center" wrapText="1"/>
      <protection locked="0" hidden="1"/>
    </xf>
    <xf numFmtId="165" fontId="10" fillId="2" borderId="1" xfId="1" applyNumberFormat="1" applyFont="1" applyFill="1" applyBorder="1" applyAlignment="1" applyProtection="1">
      <alignment horizontal="center"/>
      <protection locked="0" hidden="1"/>
    </xf>
    <xf numFmtId="2" fontId="3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Fill="1" applyBorder="1" applyAlignment="1" applyProtection="1">
      <alignment horizontal="left" vertical="center"/>
      <protection hidden="1"/>
    </xf>
    <xf numFmtId="164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2" fontId="3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2" fontId="3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165" fontId="3" fillId="0" borderId="1" xfId="0" applyNumberFormat="1" applyFont="1" applyBorder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167" fontId="3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2" fontId="13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left" vertical="center"/>
      <protection hidden="1"/>
    </xf>
    <xf numFmtId="165" fontId="2" fillId="0" borderId="9" xfId="0" applyNumberFormat="1" applyFont="1" applyBorder="1" applyAlignment="1" applyProtection="1">
      <alignment horizontal="left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2" fontId="3" fillId="0" borderId="7" xfId="0" applyNumberFormat="1" applyFont="1" applyBorder="1" applyAlignment="1" applyProtection="1">
      <alignment horizontal="center" vertical="center"/>
      <protection hidden="1"/>
    </xf>
    <xf numFmtId="2" fontId="3" fillId="0" borderId="10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center"/>
    </xf>
    <xf numFmtId="0" fontId="18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0" fillId="0" borderId="1" xfId="0" applyBorder="1" applyAlignment="1"/>
    <xf numFmtId="49" fontId="4" fillId="2" borderId="2" xfId="0" applyNumberFormat="1" applyFont="1" applyFill="1" applyBorder="1" applyAlignment="1" applyProtection="1">
      <alignment horizontal="left"/>
      <protection locked="0" hidden="1"/>
    </xf>
    <xf numFmtId="49" fontId="4" fillId="2" borderId="3" xfId="0" applyNumberFormat="1" applyFont="1" applyFill="1" applyBorder="1" applyAlignment="1" applyProtection="1">
      <alignment horizontal="left"/>
      <protection locked="0" hidden="1"/>
    </xf>
    <xf numFmtId="49" fontId="3" fillId="2" borderId="3" xfId="0" applyNumberFormat="1" applyFont="1" applyFill="1" applyBorder="1" applyAlignment="1" applyProtection="1">
      <alignment horizontal="left"/>
      <protection locked="0" hidden="1"/>
    </xf>
    <xf numFmtId="49" fontId="3" fillId="2" borderId="4" xfId="0" applyNumberFormat="1" applyFont="1" applyFill="1" applyBorder="1" applyAlignment="1" applyProtection="1">
      <alignment horizontal="left"/>
      <protection locked="0"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2" fontId="3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12" xfId="0" applyFont="1" applyFill="1" applyBorder="1" applyAlignment="1" applyProtection="1">
      <alignment horizontal="center" vertical="center" wrapText="1"/>
      <protection locked="0" hidden="1"/>
    </xf>
    <xf numFmtId="0" fontId="8" fillId="2" borderId="7" xfId="0" applyFont="1" applyFill="1" applyBorder="1" applyAlignment="1" applyProtection="1">
      <alignment horizontal="center" vertical="center" wrapText="1"/>
      <protection locked="0" hidden="1"/>
    </xf>
    <xf numFmtId="0" fontId="8" fillId="2" borderId="9" xfId="0" applyFont="1" applyFill="1" applyBorder="1" applyAlignment="1" applyProtection="1">
      <alignment horizontal="center" vertical="center" wrapText="1"/>
      <protection locked="0"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locked="0" hidden="1"/>
    </xf>
    <xf numFmtId="0" fontId="3" fillId="2" borderId="9" xfId="0" applyFont="1" applyFill="1" applyBorder="1" applyAlignment="1" applyProtection="1">
      <alignment horizontal="left" vertical="center" wrapText="1"/>
      <protection locked="0" hidden="1"/>
    </xf>
    <xf numFmtId="0" fontId="3" fillId="2" borderId="10" xfId="0" applyFont="1" applyFill="1" applyBorder="1" applyAlignment="1" applyProtection="1">
      <alignment horizontal="left" vertical="center" wrapText="1"/>
      <protection locked="0" hidden="1"/>
    </xf>
    <xf numFmtId="0" fontId="3" fillId="2" borderId="12" xfId="0" applyFont="1" applyFill="1" applyBorder="1" applyAlignment="1" applyProtection="1">
      <alignment horizontal="left" vertical="center" wrapText="1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13" xfId="0" applyFont="1" applyBorder="1" applyAlignment="1" applyProtection="1">
      <alignment horizontal="center" vertical="center"/>
      <protection locked="0" hidden="1"/>
    </xf>
    <xf numFmtId="10" fontId="10" fillId="0" borderId="5" xfId="0" applyNumberFormat="1" applyFont="1" applyFill="1" applyBorder="1" applyAlignment="1" applyProtection="1">
      <alignment horizontal="center" vertical="center"/>
      <protection hidden="1"/>
    </xf>
    <xf numFmtId="10" fontId="3" fillId="0" borderId="13" xfId="0" applyNumberFormat="1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horizontal="center"/>
      <protection locked="0" hidden="1"/>
    </xf>
    <xf numFmtId="0" fontId="3" fillId="0" borderId="15" xfId="1" applyFont="1" applyBorder="1" applyAlignment="1" applyProtection="1">
      <alignment horizontal="center"/>
      <protection locked="0" hidden="1"/>
    </xf>
    <xf numFmtId="0" fontId="11" fillId="0" borderId="15" xfId="1" applyFont="1" applyBorder="1" applyAlignment="1" applyProtection="1">
      <alignment horizontal="center" vertical="top" wrapText="1"/>
      <protection locked="0" hidden="1"/>
    </xf>
    <xf numFmtId="0" fontId="3" fillId="0" borderId="15" xfId="1" applyFont="1" applyBorder="1" applyAlignment="1" applyProtection="1">
      <alignment horizontal="center" vertical="top" wrapText="1"/>
      <protection locked="0" hidden="1"/>
    </xf>
    <xf numFmtId="0" fontId="3" fillId="0" borderId="16" xfId="1" applyFont="1" applyBorder="1" applyAlignment="1" applyProtection="1">
      <alignment horizontal="center" vertical="top" wrapText="1"/>
      <protection locked="0" hidden="1"/>
    </xf>
    <xf numFmtId="0" fontId="3" fillId="0" borderId="1" xfId="0" applyFont="1" applyBorder="1" applyProtection="1">
      <protection hidden="1"/>
    </xf>
    <xf numFmtId="0" fontId="0" fillId="0" borderId="1" xfId="0" applyBorder="1"/>
    <xf numFmtId="165" fontId="3" fillId="0" borderId="2" xfId="0" applyNumberFormat="1" applyFont="1" applyBorder="1" applyAlignment="1" applyProtection="1">
      <alignment horizontal="center" vertical="center"/>
      <protection locked="0" hidden="1"/>
    </xf>
    <xf numFmtId="165" fontId="3" fillId="0" borderId="4" xfId="0" applyNumberFormat="1" applyFont="1" applyBorder="1" applyAlignment="1" applyProtection="1">
      <alignment horizontal="center" vertical="center"/>
      <protection locked="0" hidden="1"/>
    </xf>
    <xf numFmtId="0" fontId="3" fillId="2" borderId="2" xfId="0" applyFont="1" applyFill="1" applyBorder="1" applyAlignment="1" applyProtection="1">
      <alignment horizontal="left" vertical="center" wrapText="1"/>
      <protection locked="0" hidden="1"/>
    </xf>
    <xf numFmtId="0" fontId="3" fillId="2" borderId="4" xfId="0" applyFont="1" applyFill="1" applyBorder="1" applyAlignment="1" applyProtection="1">
      <alignment horizontal="left" vertical="center" wrapText="1"/>
      <protection locked="0" hidden="1"/>
    </xf>
    <xf numFmtId="0" fontId="8" fillId="2" borderId="2" xfId="0" applyFont="1" applyFill="1" applyBorder="1" applyAlignment="1" applyProtection="1">
      <alignment horizontal="center" vertical="center" wrapText="1"/>
      <protection locked="0" hidden="1"/>
    </xf>
    <xf numFmtId="0" fontId="8" fillId="2" borderId="4" xfId="0" applyFont="1" applyFill="1" applyBorder="1" applyAlignment="1" applyProtection="1">
      <alignment horizontal="center" vertical="center" wrapText="1"/>
      <protection locked="0"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3900450122816"/>
          <c:y val="6.459823196947008E-2"/>
          <c:w val="0.81117359990253324"/>
          <c:h val="0.76100862632857513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og"/>
            <c:dispRSqr val="0"/>
            <c:dispEq val="0"/>
          </c:trendline>
          <c:xVal>
            <c:numRef>
              <c:f>'2 измерения'!$B$11:$B$14</c:f>
              <c:numCache>
                <c:formatCode>0.0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40</c:v>
                </c:pt>
              </c:numCache>
            </c:numRef>
          </c:xVal>
          <c:yVal>
            <c:numRef>
              <c:f>'2 измерения'!$I$11:$I$14</c:f>
              <c:numCache>
                <c:formatCode>0.00</c:formatCode>
                <c:ptCount val="4"/>
                <c:pt idx="0">
                  <c:v>0.73916034263193298</c:v>
                </c:pt>
                <c:pt idx="1">
                  <c:v>0.25456448700010603</c:v>
                </c:pt>
                <c:pt idx="2">
                  <c:v>-0.4083932531675889</c:v>
                </c:pt>
                <c:pt idx="3">
                  <c:v>-1.0170070749292701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6E-429A-BD4F-3D4AB9F5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7312"/>
        <c:axId val="29038848"/>
      </c:scatterChart>
      <c:valAx>
        <c:axId val="29037312"/>
        <c:scaling>
          <c:logBase val="10"/>
          <c:orientation val="minMax"/>
          <c:max val="100"/>
          <c:min val="0.1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ru-RU" b="1"/>
                  <a:t>Массовая доля охратоксина</a:t>
                </a:r>
                <a:r>
                  <a:rPr lang="ru-RU" b="1" baseline="0"/>
                  <a:t> А</a:t>
                </a:r>
                <a:r>
                  <a:rPr lang="ru-RU" b="1"/>
                  <a:t>, мкг/кг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28100676433779059"/>
              <c:y val="0.86809533405579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BY"/>
          </a:p>
        </c:txPr>
        <c:crossAx val="29038848"/>
        <c:crosses val="autoZero"/>
        <c:crossBetween val="midCat"/>
      </c:valAx>
      <c:valAx>
        <c:axId val="29038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Log </a:t>
                </a:r>
                <a:r>
                  <a:rPr lang="en-US" b="1" i="1"/>
                  <a:t>it</a:t>
                </a:r>
                <a:r>
                  <a:rPr lang="en-US" b="1"/>
                  <a:t> (B</a:t>
                </a:r>
                <a:r>
                  <a:rPr lang="en-US" b="1" baseline="-25000"/>
                  <a:t>i</a:t>
                </a:r>
                <a:r>
                  <a:rPr lang="en-US" b="1"/>
                  <a:t>/B</a:t>
                </a:r>
                <a:r>
                  <a:rPr lang="en-US" b="1" baseline="-25000"/>
                  <a:t>0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2.114789661112328E-2"/>
              <c:y val="0.33962354705661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ru-BY"/>
          </a:p>
        </c:txPr>
        <c:crossAx val="29037312"/>
        <c:crossesAt val="0.1"/>
        <c:crossBetween val="midCat"/>
        <c:majorUnit val="0.4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BY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1875008528741"/>
          <c:y val="8.1761257374144358E-2"/>
          <c:w val="0.76651505259808772"/>
          <c:h val="0.76100862632857513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og"/>
            <c:dispRSqr val="0"/>
            <c:dispEq val="0"/>
          </c:trendline>
          <c:xVal>
            <c:numRef>
              <c:f>'1 измерение'!$B$11:$B$14</c:f>
              <c:numCache>
                <c:formatCode>0.0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40</c:v>
                </c:pt>
              </c:numCache>
            </c:numRef>
          </c:xVal>
          <c:yVal>
            <c:numRef>
              <c:f>'1 измерение'!$H$11:$H$14</c:f>
              <c:numCache>
                <c:formatCode>0.00</c:formatCode>
                <c:ptCount val="4"/>
                <c:pt idx="0">
                  <c:v>0.64263181452361895</c:v>
                </c:pt>
                <c:pt idx="1">
                  <c:v>0.24172399478846326</c:v>
                </c:pt>
                <c:pt idx="2">
                  <c:v>-0.42301545278664771</c:v>
                </c:pt>
                <c:pt idx="3">
                  <c:v>-1.0272450340969328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D-4C44-AFE4-82C048EB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7312"/>
        <c:axId val="29038848"/>
      </c:scatterChart>
      <c:valAx>
        <c:axId val="29037312"/>
        <c:scaling>
          <c:logBase val="10"/>
          <c:orientation val="minMax"/>
          <c:max val="100"/>
          <c:min val="0.1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ru-RU" b="1"/>
                  <a:t>Массовая доля охратоксина</a:t>
                </a:r>
                <a:r>
                  <a:rPr lang="ru-RU" b="1" baseline="0"/>
                  <a:t> А</a:t>
                </a:r>
                <a:r>
                  <a:rPr lang="ru-RU" b="1"/>
                  <a:t>, мкг/кг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28100673995128678"/>
              <c:y val="0.91477735283089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BY"/>
          </a:p>
        </c:txPr>
        <c:crossAx val="29038848"/>
        <c:crosses val="autoZero"/>
        <c:crossBetween val="midCat"/>
      </c:valAx>
      <c:valAx>
        <c:axId val="29038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Log </a:t>
                </a:r>
                <a:r>
                  <a:rPr lang="en-US" b="1" i="1"/>
                  <a:t>it</a:t>
                </a:r>
                <a:r>
                  <a:rPr lang="en-US" b="1"/>
                  <a:t> (B</a:t>
                </a:r>
                <a:r>
                  <a:rPr lang="en-US" b="1" baseline="-25000"/>
                  <a:t>i</a:t>
                </a:r>
                <a:r>
                  <a:rPr lang="en-US" b="1"/>
                  <a:t>/B</a:t>
                </a:r>
                <a:r>
                  <a:rPr lang="en-US" b="1" baseline="-25000"/>
                  <a:t>0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2.114789661112328E-2"/>
              <c:y val="0.33962354705661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ru-BY"/>
          </a:p>
        </c:txPr>
        <c:crossAx val="29037312"/>
        <c:crossesAt val="0.1"/>
        <c:crossBetween val="midCat"/>
        <c:majorUnit val="0.4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BY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Drop" dropLines="12" dropStyle="combo" dx="16" fmlaLink="$D$27" fmlaRange="$Q$4:$Q$16" noThreeD="1" sel="3" val="0"/>
</file>

<file path=xl/ctrlProps/ctrlProp2.xml><?xml version="1.0" encoding="utf-8"?>
<formControlPr xmlns="http://schemas.microsoft.com/office/spreadsheetml/2009/9/main" objectType="Drop" dropLines="12" dropStyle="combo" dx="16" fmlaLink="$D$29" fmlaRange="$Q$4:$Q$13" noThreeD="1" sel="10" val="0"/>
</file>

<file path=xl/ctrlProps/ctrlProp3.xml><?xml version="1.0" encoding="utf-8"?>
<formControlPr xmlns="http://schemas.microsoft.com/office/spreadsheetml/2009/9/main" objectType="Drop" dropLines="12" dropStyle="combo" dx="16" fmlaLink="$D$31" fmlaRange="$Q$4:$Q$13" noThreeD="1" sel="10" val="0"/>
</file>

<file path=xl/ctrlProps/ctrlProp4.xml><?xml version="1.0" encoding="utf-8"?>
<formControlPr xmlns="http://schemas.microsoft.com/office/spreadsheetml/2009/9/main" objectType="Drop" dropLines="12" dropStyle="combo" dx="16" fmlaLink="$D$33" fmlaRange="$Q$4:$Q$13" noThreeD="1" sel="10" val="0"/>
</file>

<file path=xl/ctrlProps/ctrlProp5.xml><?xml version="1.0" encoding="utf-8"?>
<formControlPr xmlns="http://schemas.microsoft.com/office/spreadsheetml/2009/9/main" objectType="Drop" dropLines="12" dropStyle="combo" dx="16" fmlaLink="$D$35" fmlaRange="$Q$4:$Q$13" noThreeD="1" sel="10" val="0"/>
</file>

<file path=xl/ctrlProps/ctrlProp6.xml><?xml version="1.0" encoding="utf-8"?>
<formControlPr xmlns="http://schemas.microsoft.com/office/spreadsheetml/2009/9/main" objectType="Drop" dropLines="12" dropStyle="combo" dx="16" fmlaLink="$D$37" fmlaRange="$Q$4:$Q$13" noThreeD="1" sel="6" val="0"/>
</file>

<file path=xl/ctrlProps/ctrlProp7.xml><?xml version="1.0" encoding="utf-8"?>
<formControlPr xmlns="http://schemas.microsoft.com/office/spreadsheetml/2009/9/main" objectType="Drop" dropLines="12" dropStyle="combo" dx="16" fmlaLink="$D$39" fmlaRange="$Q$4:$Q$13" noThreeD="1" sel="10" val="0"/>
</file>

<file path=xl/ctrlProps/ctrlProp8.xml><?xml version="1.0" encoding="utf-8"?>
<formControlPr xmlns="http://schemas.microsoft.com/office/spreadsheetml/2009/9/main" objectType="Drop" dropLines="12" dropStyle="combo" dx="16" fmlaLink="$D$41" fmlaRange="$Q$4:$Q$13" noThreeD="1" sel="10" val="0"/>
</file>

<file path=xl/ctrlProps/ctrlProp9.xml><?xml version="1.0" encoding="utf-8"?>
<formControlPr xmlns="http://schemas.microsoft.com/office/spreadsheetml/2009/9/main" objectType="Drop" dropLines="12" dropStyle="combo" dx="16" fmlaLink="$D$43" fmlaRange="$Q$4:$Q$13" noThreeD="1" sel="10" val="0"/>
</file>

<file path=xl/ctrlProps/ctrlProp10.xml><?xml version="1.0" encoding="utf-8"?>
<formControlPr xmlns="http://schemas.microsoft.com/office/spreadsheetml/2009/9/main" objectType="Drop" dropLines="12" dropStyle="combo" dx="16" fmlaLink="$D$45" fmlaRange="$Q$4:$Q$13" noThreeD="1" sel="10" val="0"/>
</file>

<file path=xl/ctrlProps/ctrlProp11.xml><?xml version="1.0" encoding="utf-8"?>
<formControlPr xmlns="http://schemas.microsoft.com/office/spreadsheetml/2009/9/main" objectType="Drop" dropLines="12" dropStyle="combo" dx="16" fmlaLink="$D$47" fmlaRange="$Q$4:$Q$13" noThreeD="1" sel="10" val="0"/>
</file>

<file path=xl/ctrlProps/ctrlProp12.xml><?xml version="1.0" encoding="utf-8"?>
<formControlPr xmlns="http://schemas.microsoft.com/office/spreadsheetml/2009/9/main" objectType="Drop" dropLines="12" dropStyle="combo" dx="16" fmlaLink="$D$49" fmlaRange="$Q$4:$Q$13" noThreeD="1" sel="10" val="0"/>
</file>

<file path=xl/ctrlProps/ctrlProp13.xml><?xml version="1.0" encoding="utf-8"?>
<formControlPr xmlns="http://schemas.microsoft.com/office/spreadsheetml/2009/9/main" objectType="Drop" dropLines="12" dropStyle="combo" dx="16" fmlaLink="$D$51" fmlaRange="$Q$4:$Q$13" noThreeD="1" sel="10" val="0"/>
</file>

<file path=xl/ctrlProps/ctrlProp14.xml><?xml version="1.0" encoding="utf-8"?>
<formControlPr xmlns="http://schemas.microsoft.com/office/spreadsheetml/2009/9/main" objectType="Drop" dropLines="12" dropStyle="combo" dx="16" fmlaLink="$D$53" fmlaRange="$Q$4:$Q$13" noThreeD="1" sel="10" val="0"/>
</file>

<file path=xl/ctrlProps/ctrlProp15.xml><?xml version="1.0" encoding="utf-8"?>
<formControlPr xmlns="http://schemas.microsoft.com/office/spreadsheetml/2009/9/main" objectType="Drop" dropLines="12" dropStyle="combo" dx="16" fmlaLink="$D$55" fmlaRange="$Q$4:$Q$13" noThreeD="1" sel="10" val="0"/>
</file>

<file path=xl/ctrlProps/ctrlProp16.xml><?xml version="1.0" encoding="utf-8"?>
<formControlPr xmlns="http://schemas.microsoft.com/office/spreadsheetml/2009/9/main" objectType="Drop" dropLines="12" dropStyle="combo" dx="16" fmlaLink="$D$57" fmlaRange="$Q$4:$Q$13" noThreeD="1" sel="10" val="0"/>
</file>

<file path=xl/ctrlProps/ctrlProp17.xml><?xml version="1.0" encoding="utf-8"?>
<formControlPr xmlns="http://schemas.microsoft.com/office/spreadsheetml/2009/9/main" objectType="Drop" dropLines="12" dropStyle="combo" dx="16" fmlaLink="$D$59" fmlaRange="$Q$4:$Q$13" noThreeD="1" sel="10" val="0"/>
</file>

<file path=xl/ctrlProps/ctrlProp18.xml><?xml version="1.0" encoding="utf-8"?>
<formControlPr xmlns="http://schemas.microsoft.com/office/spreadsheetml/2009/9/main" objectType="Drop" dropLines="12" dropStyle="combo" dx="16" fmlaLink="$D$61" fmlaRange="$Q$4:$Q$13" noThreeD="1" sel="10" val="0"/>
</file>

<file path=xl/ctrlProps/ctrlProp19.xml><?xml version="1.0" encoding="utf-8"?>
<formControlPr xmlns="http://schemas.microsoft.com/office/spreadsheetml/2009/9/main" objectType="Drop" dropLines="12" dropStyle="combo" dx="16" fmlaLink="$D$63" fmlaRange="$Q$4:$Q$13" noThreeD="1" sel="2" val="0"/>
</file>

<file path=xl/ctrlProps/ctrlProp20.xml><?xml version="1.0" encoding="utf-8"?>
<formControlPr xmlns="http://schemas.microsoft.com/office/spreadsheetml/2009/9/main" objectType="Drop" dropLines="12" dropStyle="combo" dx="16" fmlaLink="$D$65" fmlaRange="$Q$4:$Q$13" noThreeD="1" sel="5" val="0"/>
</file>

<file path=xl/ctrlProps/ctrlProp21.xml><?xml version="1.0" encoding="utf-8"?>
<formControlPr xmlns="http://schemas.microsoft.com/office/spreadsheetml/2009/9/main" objectType="Drop" dropLines="12" dropStyle="combo" dx="16" fmlaLink="$D$29" fmlaRange="$Q$4:$Q$16" noThreeD="1" sel="12"/>
</file>

<file path=xl/ctrlProps/ctrlProp22.xml><?xml version="1.0" encoding="utf-8"?>
<formControlPr xmlns="http://schemas.microsoft.com/office/spreadsheetml/2009/9/main" objectType="Drop" dropLines="12" dropStyle="combo" dx="16" fmlaLink="$D$31" fmlaRange="$Q$4:$Q$16" noThreeD="1" sel="11" val="0"/>
</file>

<file path=xl/ctrlProps/ctrlProp23.xml><?xml version="1.0" encoding="utf-8"?>
<formControlPr xmlns="http://schemas.microsoft.com/office/spreadsheetml/2009/9/main" objectType="Drop" dropLines="12" dropStyle="combo" dx="16" fmlaLink="$D$33" fmlaRange="$Q$4:$Q$16" noThreeD="1" sel="11" val="0"/>
</file>

<file path=xl/ctrlProps/ctrlProp24.xml><?xml version="1.0" encoding="utf-8"?>
<formControlPr xmlns="http://schemas.microsoft.com/office/spreadsheetml/2009/9/main" objectType="Drop" dropLines="12" dropStyle="combo" dx="16" fmlaLink="$D$35" fmlaRange="$Q$4:$Q$16" noThreeD="1" sel="10" val="0"/>
</file>

<file path=xl/ctrlProps/ctrlProp25.xml><?xml version="1.0" encoding="utf-8"?>
<formControlPr xmlns="http://schemas.microsoft.com/office/spreadsheetml/2009/9/main" objectType="Drop" dropLines="12" dropStyle="combo" dx="16" fmlaLink="$D$37" fmlaRange="$Q$4:$Q$16" noThreeD="1" sel="6" val="0"/>
</file>

<file path=xl/ctrlProps/ctrlProp26.xml><?xml version="1.0" encoding="utf-8"?>
<formControlPr xmlns="http://schemas.microsoft.com/office/spreadsheetml/2009/9/main" objectType="Drop" dropLines="12" dropStyle="combo" dx="16" fmlaLink="$D$39" fmlaRange="$Q$4:$Q$16" noThreeD="1" sel="11" val="0"/>
</file>

<file path=xl/ctrlProps/ctrlProp27.xml><?xml version="1.0" encoding="utf-8"?>
<formControlPr xmlns="http://schemas.microsoft.com/office/spreadsheetml/2009/9/main" objectType="Drop" dropLines="12" dropStyle="combo" dx="16" fmlaLink="$D$41" fmlaRange="$Q$4:$Q$16" noThreeD="1" sel="11" val="0"/>
</file>

<file path=xl/ctrlProps/ctrlProp28.xml><?xml version="1.0" encoding="utf-8"?>
<formControlPr xmlns="http://schemas.microsoft.com/office/spreadsheetml/2009/9/main" objectType="Drop" dropLines="12" dropStyle="combo" dx="16" fmlaLink="$D$43" fmlaRange="$Q$4:$Q$16" noThreeD="1" sel="11" val="0"/>
</file>

<file path=xl/ctrlProps/ctrlProp29.xml><?xml version="1.0" encoding="utf-8"?>
<formControlPr xmlns="http://schemas.microsoft.com/office/spreadsheetml/2009/9/main" objectType="Drop" dropLines="12" dropStyle="combo" dx="16" fmlaLink="$D$45" fmlaRange="$Q$4:$Q$16" noThreeD="1" sel="11" val="0"/>
</file>

<file path=xl/ctrlProps/ctrlProp30.xml><?xml version="1.0" encoding="utf-8"?>
<formControlPr xmlns="http://schemas.microsoft.com/office/spreadsheetml/2009/9/main" objectType="Drop" dropLines="12" dropStyle="combo" dx="16" fmlaLink="$D$47" fmlaRange="$Q$4:$Q$16" noThreeD="1" sel="11" val="0"/>
</file>

<file path=xl/ctrlProps/ctrlProp31.xml><?xml version="1.0" encoding="utf-8"?>
<formControlPr xmlns="http://schemas.microsoft.com/office/spreadsheetml/2009/9/main" objectType="Drop" dropLines="12" dropStyle="combo" dx="16" fmlaLink="$D$49" fmlaRange="$Q$4:$Q$16" noThreeD="1" sel="11" val="0"/>
</file>

<file path=xl/ctrlProps/ctrlProp32.xml><?xml version="1.0" encoding="utf-8"?>
<formControlPr xmlns="http://schemas.microsoft.com/office/spreadsheetml/2009/9/main" objectType="Drop" dropLines="12" dropStyle="combo" dx="16" fmlaLink="$D$51" fmlaRange="$Q$4:$Q$16" noThreeD="1" sel="11" val="0"/>
</file>

<file path=xl/ctrlProps/ctrlProp33.xml><?xml version="1.0" encoding="utf-8"?>
<formControlPr xmlns="http://schemas.microsoft.com/office/spreadsheetml/2009/9/main" objectType="Drop" dropLines="12" dropStyle="combo" dx="16" fmlaLink="$D$53" fmlaRange="$Q$4:$Q$16" noThreeD="1" sel="11" val="0"/>
</file>

<file path=xl/ctrlProps/ctrlProp34.xml><?xml version="1.0" encoding="utf-8"?>
<formControlPr xmlns="http://schemas.microsoft.com/office/spreadsheetml/2009/9/main" objectType="Drop" dropLines="12" dropStyle="combo" dx="16" fmlaLink="$D$55" fmlaRange="$Q$4:$Q$16" noThreeD="1" sel="11" val="0"/>
</file>

<file path=xl/ctrlProps/ctrlProp35.xml><?xml version="1.0" encoding="utf-8"?>
<formControlPr xmlns="http://schemas.microsoft.com/office/spreadsheetml/2009/9/main" objectType="Drop" dropLines="12" dropStyle="combo" dx="16" fmlaLink="$D$57" fmlaRange="$Q$4:$Q$16" noThreeD="1" sel="11" val="0"/>
</file>

<file path=xl/ctrlProps/ctrlProp36.xml><?xml version="1.0" encoding="utf-8"?>
<formControlPr xmlns="http://schemas.microsoft.com/office/spreadsheetml/2009/9/main" objectType="Drop" dropLines="12" dropStyle="combo" dx="16" fmlaLink="$D$59" fmlaRange="$Q$4:$Q$16" noThreeD="1" sel="11" val="0"/>
</file>

<file path=xl/ctrlProps/ctrlProp37.xml><?xml version="1.0" encoding="utf-8"?>
<formControlPr xmlns="http://schemas.microsoft.com/office/spreadsheetml/2009/9/main" objectType="Drop" dropLines="12" dropStyle="combo" dx="16" fmlaLink="$D$61" fmlaRange="$Q$4:$Q$16" noThreeD="1" sel="11" val="0"/>
</file>

<file path=xl/ctrlProps/ctrlProp38.xml><?xml version="1.0" encoding="utf-8"?>
<formControlPr xmlns="http://schemas.microsoft.com/office/spreadsheetml/2009/9/main" objectType="Drop" dropLines="12" dropStyle="combo" dx="16" fmlaLink="$D$63" fmlaRange="$Q$4:$Q$16" noThreeD="1" sel="2" val="0"/>
</file>

<file path=xl/ctrlProps/ctrlProp39.xml><?xml version="1.0" encoding="utf-8"?>
<formControlPr xmlns="http://schemas.microsoft.com/office/spreadsheetml/2009/9/main" objectType="Drop" dropLines="12" dropStyle="combo" dx="16" fmlaLink="$D$65" fmlaRange="$Q$4:$Q$16" noThreeD="1" sel="5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393701</xdr:colOff>
      <xdr:row>0</xdr:row>
      <xdr:rowOff>74084</xdr:rowOff>
    </xdr:from>
    <xdr:to>
      <xdr:col>26</xdr:col>
      <xdr:colOff>63500</xdr:colOff>
      <xdr:row>19</xdr:row>
      <xdr:rowOff>74084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57150</xdr:rowOff>
        </xdr:from>
        <xdr:to>
          <xdr:col>5</xdr:col>
          <xdr:colOff>9525</xdr:colOff>
          <xdr:row>27</xdr:row>
          <xdr:rowOff>152400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57150</xdr:rowOff>
        </xdr:from>
        <xdr:to>
          <xdr:col>5</xdr:col>
          <xdr:colOff>9525</xdr:colOff>
          <xdr:row>29</xdr:row>
          <xdr:rowOff>152400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57150</xdr:rowOff>
        </xdr:from>
        <xdr:to>
          <xdr:col>5</xdr:col>
          <xdr:colOff>9525</xdr:colOff>
          <xdr:row>31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57150</xdr:rowOff>
        </xdr:from>
        <xdr:to>
          <xdr:col>5</xdr:col>
          <xdr:colOff>9525</xdr:colOff>
          <xdr:row>33</xdr:row>
          <xdr:rowOff>152400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57150</xdr:rowOff>
        </xdr:from>
        <xdr:to>
          <xdr:col>5</xdr:col>
          <xdr:colOff>9525</xdr:colOff>
          <xdr:row>35</xdr:row>
          <xdr:rowOff>152400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57150</xdr:rowOff>
        </xdr:from>
        <xdr:to>
          <xdr:col>5</xdr:col>
          <xdr:colOff>9525</xdr:colOff>
          <xdr:row>37</xdr:row>
          <xdr:rowOff>152400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57150</xdr:rowOff>
        </xdr:from>
        <xdr:to>
          <xdr:col>5</xdr:col>
          <xdr:colOff>9525</xdr:colOff>
          <xdr:row>39</xdr:row>
          <xdr:rowOff>152400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57150</xdr:rowOff>
        </xdr:from>
        <xdr:to>
          <xdr:col>5</xdr:col>
          <xdr:colOff>9525</xdr:colOff>
          <xdr:row>41</xdr:row>
          <xdr:rowOff>152400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57150</xdr:rowOff>
        </xdr:from>
        <xdr:to>
          <xdr:col>5</xdr:col>
          <xdr:colOff>9525</xdr:colOff>
          <xdr:row>43</xdr:row>
          <xdr:rowOff>152400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57150</xdr:rowOff>
        </xdr:from>
        <xdr:to>
          <xdr:col>5</xdr:col>
          <xdr:colOff>9525</xdr:colOff>
          <xdr:row>45</xdr:row>
          <xdr:rowOff>152400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57150</xdr:rowOff>
        </xdr:from>
        <xdr:to>
          <xdr:col>5</xdr:col>
          <xdr:colOff>9525</xdr:colOff>
          <xdr:row>47</xdr:row>
          <xdr:rowOff>152400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57150</xdr:rowOff>
        </xdr:from>
        <xdr:to>
          <xdr:col>5</xdr:col>
          <xdr:colOff>9525</xdr:colOff>
          <xdr:row>49</xdr:row>
          <xdr:rowOff>152400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57150</xdr:rowOff>
        </xdr:from>
        <xdr:to>
          <xdr:col>5</xdr:col>
          <xdr:colOff>9525</xdr:colOff>
          <xdr:row>51</xdr:row>
          <xdr:rowOff>152400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57150</xdr:rowOff>
        </xdr:from>
        <xdr:to>
          <xdr:col>5</xdr:col>
          <xdr:colOff>9525</xdr:colOff>
          <xdr:row>53</xdr:row>
          <xdr:rowOff>152400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57150</xdr:rowOff>
        </xdr:from>
        <xdr:to>
          <xdr:col>5</xdr:col>
          <xdr:colOff>9525</xdr:colOff>
          <xdr:row>55</xdr:row>
          <xdr:rowOff>152400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57150</xdr:rowOff>
        </xdr:from>
        <xdr:to>
          <xdr:col>5</xdr:col>
          <xdr:colOff>9525</xdr:colOff>
          <xdr:row>57</xdr:row>
          <xdr:rowOff>152400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57150</xdr:rowOff>
        </xdr:from>
        <xdr:to>
          <xdr:col>5</xdr:col>
          <xdr:colOff>9525</xdr:colOff>
          <xdr:row>59</xdr:row>
          <xdr:rowOff>152400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57150</xdr:rowOff>
        </xdr:from>
        <xdr:to>
          <xdr:col>5</xdr:col>
          <xdr:colOff>9525</xdr:colOff>
          <xdr:row>61</xdr:row>
          <xdr:rowOff>152400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57150</xdr:rowOff>
        </xdr:from>
        <xdr:to>
          <xdr:col>5</xdr:col>
          <xdr:colOff>9525</xdr:colOff>
          <xdr:row>63</xdr:row>
          <xdr:rowOff>152400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57150</xdr:rowOff>
        </xdr:from>
        <xdr:to>
          <xdr:col>5</xdr:col>
          <xdr:colOff>9525</xdr:colOff>
          <xdr:row>65</xdr:row>
          <xdr:rowOff>152400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542925</xdr:colOff>
      <xdr:row>0</xdr:row>
      <xdr:rowOff>219075</xdr:rowOff>
    </xdr:from>
    <xdr:ext cx="1285875" cy="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190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57150</xdr:colOff>
      <xdr:row>0</xdr:row>
      <xdr:rowOff>38100</xdr:rowOff>
    </xdr:from>
    <xdr:to>
      <xdr:col>1</xdr:col>
      <xdr:colOff>457200</xdr:colOff>
      <xdr:row>0</xdr:row>
      <xdr:rowOff>666750</xdr:rowOff>
    </xdr:to>
    <xdr:pic>
      <xdr:nvPicPr>
        <xdr:cNvPr id="24" name="Рисунок 23" descr="Лого КПС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8580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419100</xdr:colOff>
      <xdr:row>0</xdr:row>
      <xdr:rowOff>219075</xdr:rowOff>
    </xdr:from>
    <xdr:ext cx="2200275" cy="295275"/>
    <xdr:pic>
      <xdr:nvPicPr>
        <xdr:cNvPr id="25" name="Рисунок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19075"/>
          <a:ext cx="2200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57150</xdr:rowOff>
        </xdr:from>
        <xdr:to>
          <xdr:col>5</xdr:col>
          <xdr:colOff>9525</xdr:colOff>
          <xdr:row>29</xdr:row>
          <xdr:rowOff>152400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57150</xdr:rowOff>
        </xdr:from>
        <xdr:to>
          <xdr:col>5</xdr:col>
          <xdr:colOff>9525</xdr:colOff>
          <xdr:row>31</xdr:row>
          <xdr:rowOff>152400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57150</xdr:rowOff>
        </xdr:from>
        <xdr:to>
          <xdr:col>5</xdr:col>
          <xdr:colOff>9525</xdr:colOff>
          <xdr:row>33</xdr:row>
          <xdr:rowOff>152400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57150</xdr:rowOff>
        </xdr:from>
        <xdr:to>
          <xdr:col>5</xdr:col>
          <xdr:colOff>9525</xdr:colOff>
          <xdr:row>35</xdr:row>
          <xdr:rowOff>152400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57150</xdr:rowOff>
        </xdr:from>
        <xdr:to>
          <xdr:col>5</xdr:col>
          <xdr:colOff>9525</xdr:colOff>
          <xdr:row>37</xdr:row>
          <xdr:rowOff>152400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57150</xdr:rowOff>
        </xdr:from>
        <xdr:to>
          <xdr:col>5</xdr:col>
          <xdr:colOff>9525</xdr:colOff>
          <xdr:row>39</xdr:row>
          <xdr:rowOff>152400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57150</xdr:rowOff>
        </xdr:from>
        <xdr:to>
          <xdr:col>5</xdr:col>
          <xdr:colOff>9525</xdr:colOff>
          <xdr:row>41</xdr:row>
          <xdr:rowOff>152400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57150</xdr:rowOff>
        </xdr:from>
        <xdr:to>
          <xdr:col>5</xdr:col>
          <xdr:colOff>9525</xdr:colOff>
          <xdr:row>43</xdr:row>
          <xdr:rowOff>152400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57150</xdr:rowOff>
        </xdr:from>
        <xdr:to>
          <xdr:col>5</xdr:col>
          <xdr:colOff>9525</xdr:colOff>
          <xdr:row>45</xdr:row>
          <xdr:rowOff>152400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57150</xdr:rowOff>
        </xdr:from>
        <xdr:to>
          <xdr:col>5</xdr:col>
          <xdr:colOff>9525</xdr:colOff>
          <xdr:row>47</xdr:row>
          <xdr:rowOff>152400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57150</xdr:rowOff>
        </xdr:from>
        <xdr:to>
          <xdr:col>5</xdr:col>
          <xdr:colOff>9525</xdr:colOff>
          <xdr:row>49</xdr:row>
          <xdr:rowOff>152400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57150</xdr:rowOff>
        </xdr:from>
        <xdr:to>
          <xdr:col>5</xdr:col>
          <xdr:colOff>9525</xdr:colOff>
          <xdr:row>51</xdr:row>
          <xdr:rowOff>152400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57150</xdr:rowOff>
        </xdr:from>
        <xdr:to>
          <xdr:col>5</xdr:col>
          <xdr:colOff>9525</xdr:colOff>
          <xdr:row>53</xdr:row>
          <xdr:rowOff>152400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57150</xdr:rowOff>
        </xdr:from>
        <xdr:to>
          <xdr:col>5</xdr:col>
          <xdr:colOff>9525</xdr:colOff>
          <xdr:row>55</xdr:row>
          <xdr:rowOff>152400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57150</xdr:rowOff>
        </xdr:from>
        <xdr:to>
          <xdr:col>5</xdr:col>
          <xdr:colOff>9525</xdr:colOff>
          <xdr:row>57</xdr:row>
          <xdr:rowOff>152400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57150</xdr:rowOff>
        </xdr:from>
        <xdr:to>
          <xdr:col>5</xdr:col>
          <xdr:colOff>9525</xdr:colOff>
          <xdr:row>59</xdr:row>
          <xdr:rowOff>152400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57150</xdr:rowOff>
        </xdr:from>
        <xdr:to>
          <xdr:col>5</xdr:col>
          <xdr:colOff>9525</xdr:colOff>
          <xdr:row>61</xdr:row>
          <xdr:rowOff>152400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57150</xdr:rowOff>
        </xdr:from>
        <xdr:to>
          <xdr:col>5</xdr:col>
          <xdr:colOff>9525</xdr:colOff>
          <xdr:row>63</xdr:row>
          <xdr:rowOff>152400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57150</xdr:rowOff>
        </xdr:from>
        <xdr:to>
          <xdr:col>5</xdr:col>
          <xdr:colOff>9525</xdr:colOff>
          <xdr:row>65</xdr:row>
          <xdr:rowOff>152400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171449</xdr:colOff>
      <xdr:row>1</xdr:row>
      <xdr:rowOff>104775</xdr:rowOff>
    </xdr:from>
    <xdr:to>
      <xdr:col>14</xdr:col>
      <xdr:colOff>190499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542925</xdr:colOff>
      <xdr:row>0</xdr:row>
      <xdr:rowOff>219075</xdr:rowOff>
    </xdr:from>
    <xdr:ext cx="1285875" cy="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90500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57150</xdr:colOff>
      <xdr:row>0</xdr:row>
      <xdr:rowOff>38100</xdr:rowOff>
    </xdr:from>
    <xdr:to>
      <xdr:col>1</xdr:col>
      <xdr:colOff>457200</xdr:colOff>
      <xdr:row>0</xdr:row>
      <xdr:rowOff>666750</xdr:rowOff>
    </xdr:to>
    <xdr:pic>
      <xdr:nvPicPr>
        <xdr:cNvPr id="4" name="Рисунок 3" descr="Лого КПС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0096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419100</xdr:colOff>
      <xdr:row>0</xdr:row>
      <xdr:rowOff>219075</xdr:rowOff>
    </xdr:from>
    <xdr:ext cx="2200275" cy="295275"/>
    <xdr:pic>
      <xdr:nvPicPr>
        <xdr:cNvPr id="5" name="Рисунок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90500"/>
          <a:ext cx="2200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tabSelected="1" topLeftCell="C1" zoomScale="90" zoomScaleNormal="90" workbookViewId="0">
      <pane ySplit="1" topLeftCell="A8" activePane="bottomLeft" state="frozen"/>
      <selection pane="bottomLeft" activeCell="N34" sqref="N34"/>
    </sheetView>
  </sheetViews>
  <sheetFormatPr defaultRowHeight="15" x14ac:dyDescent="0.25"/>
  <cols>
    <col min="1" max="1" width="3.42578125" style="13" customWidth="1"/>
    <col min="2" max="2" width="11.42578125" style="13" customWidth="1"/>
    <col min="3" max="3" width="16.42578125" style="13" customWidth="1"/>
    <col min="4" max="9" width="13.5703125" style="13" customWidth="1"/>
    <col min="10" max="10" width="13.140625" style="13" customWidth="1"/>
    <col min="11" max="11" width="19" style="13" hidden="1" customWidth="1"/>
    <col min="12" max="12" width="13.5703125" style="13" customWidth="1"/>
    <col min="13" max="13" width="28.5703125" style="13" customWidth="1"/>
    <col min="15" max="15" width="1.28515625" customWidth="1"/>
    <col min="16" max="16" width="22.7109375" hidden="1" customWidth="1"/>
    <col min="17" max="17" width="20.28515625" hidden="1" customWidth="1"/>
    <col min="18" max="18" width="20.85546875" hidden="1" customWidth="1"/>
    <col min="19" max="19" width="21.28515625" hidden="1" customWidth="1"/>
    <col min="20" max="20" width="24.7109375" hidden="1" customWidth="1"/>
  </cols>
  <sheetData>
    <row r="1" spans="1:20" ht="66" customHeight="1" thickBot="1" x14ac:dyDescent="0.3">
      <c r="A1" s="118"/>
      <c r="B1" s="119"/>
      <c r="C1" s="119"/>
      <c r="D1" s="119"/>
      <c r="E1" s="120" t="s">
        <v>41</v>
      </c>
      <c r="F1" s="121"/>
      <c r="G1" s="121"/>
      <c r="H1" s="121"/>
      <c r="I1" s="122"/>
    </row>
    <row r="2" spans="1:20" ht="15.75" x14ac:dyDescent="0.25">
      <c r="A2" s="1" t="s">
        <v>40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0" ht="15" customHeight="1" x14ac:dyDescent="0.25">
      <c r="A3" s="3"/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3"/>
      <c r="Q3" s="5" t="s">
        <v>0</v>
      </c>
      <c r="R3" s="6" t="s">
        <v>1</v>
      </c>
      <c r="S3" s="6" t="s">
        <v>2</v>
      </c>
      <c r="T3" t="s">
        <v>43</v>
      </c>
    </row>
    <row r="4" spans="1:20" x14ac:dyDescent="0.25">
      <c r="A4" s="102" t="s">
        <v>3</v>
      </c>
      <c r="B4" s="91"/>
      <c r="C4" s="92"/>
      <c r="D4" s="93"/>
      <c r="E4" s="93"/>
      <c r="F4" s="94"/>
      <c r="G4" s="94"/>
      <c r="H4" s="95"/>
      <c r="I4" s="7"/>
      <c r="J4" s="3"/>
      <c r="K4" s="3"/>
      <c r="L4" s="3"/>
      <c r="M4" s="3"/>
      <c r="P4">
        <v>1</v>
      </c>
      <c r="Q4" t="s">
        <v>5</v>
      </c>
      <c r="R4">
        <v>26.9</v>
      </c>
      <c r="S4">
        <v>18</v>
      </c>
      <c r="T4">
        <v>1</v>
      </c>
    </row>
    <row r="5" spans="1:20" x14ac:dyDescent="0.25">
      <c r="A5" s="102" t="s">
        <v>4</v>
      </c>
      <c r="B5" s="91"/>
      <c r="C5" s="92"/>
      <c r="D5" s="93"/>
      <c r="E5" s="93"/>
      <c r="F5" s="94"/>
      <c r="G5" s="94"/>
      <c r="H5" s="95"/>
      <c r="I5" s="7"/>
      <c r="J5" s="3"/>
      <c r="K5" s="3"/>
      <c r="L5" s="3"/>
      <c r="M5" s="3"/>
      <c r="P5">
        <v>2</v>
      </c>
      <c r="Q5" t="s">
        <v>7</v>
      </c>
      <c r="R5">
        <v>26.9</v>
      </c>
      <c r="S5">
        <v>18</v>
      </c>
      <c r="T5">
        <v>1</v>
      </c>
    </row>
    <row r="6" spans="1:20" x14ac:dyDescent="0.25">
      <c r="A6" s="102" t="s">
        <v>6</v>
      </c>
      <c r="B6" s="91"/>
      <c r="C6" s="92"/>
      <c r="D6" s="93"/>
      <c r="E6" s="93"/>
      <c r="F6" s="94"/>
      <c r="G6" s="94"/>
      <c r="H6" s="95"/>
      <c r="I6" s="7"/>
      <c r="J6" s="3"/>
      <c r="K6" s="3"/>
      <c r="L6" s="3"/>
      <c r="M6" s="3"/>
      <c r="P6">
        <v>3</v>
      </c>
      <c r="Q6" t="s">
        <v>8</v>
      </c>
      <c r="R6">
        <v>26.9</v>
      </c>
      <c r="S6">
        <v>18</v>
      </c>
      <c r="T6">
        <v>1</v>
      </c>
    </row>
    <row r="7" spans="1:20" x14ac:dyDescent="0.25">
      <c r="A7" s="88"/>
      <c r="B7" s="91"/>
      <c r="C7" s="92"/>
      <c r="D7" s="93"/>
      <c r="E7" s="93"/>
      <c r="F7" s="94"/>
      <c r="G7" s="94"/>
      <c r="H7" s="95"/>
      <c r="I7" s="7"/>
      <c r="J7" s="3"/>
      <c r="K7" s="3"/>
      <c r="L7" s="3"/>
      <c r="M7" s="3"/>
      <c r="P7">
        <v>4</v>
      </c>
      <c r="Q7" t="s">
        <v>10</v>
      </c>
      <c r="R7">
        <v>26.9</v>
      </c>
      <c r="S7">
        <v>18</v>
      </c>
      <c r="T7">
        <v>1</v>
      </c>
    </row>
    <row r="8" spans="1:20" ht="15.75" x14ac:dyDescent="0.25">
      <c r="A8" s="8" t="s">
        <v>9</v>
      </c>
      <c r="B8" s="9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P8">
        <v>5</v>
      </c>
      <c r="Q8" s="15" t="s">
        <v>17</v>
      </c>
      <c r="R8">
        <v>34.799999999999997</v>
      </c>
      <c r="S8">
        <v>28</v>
      </c>
      <c r="T8">
        <v>1</v>
      </c>
    </row>
    <row r="9" spans="1:20" x14ac:dyDescent="0.25">
      <c r="A9" s="96" t="s">
        <v>11</v>
      </c>
      <c r="B9" s="97"/>
      <c r="C9" s="97"/>
      <c r="D9" s="98" t="s">
        <v>12</v>
      </c>
      <c r="E9" s="99"/>
      <c r="F9" s="10" t="s">
        <v>13</v>
      </c>
      <c r="G9" s="10" t="s">
        <v>14</v>
      </c>
      <c r="H9" s="10" t="s">
        <v>15</v>
      </c>
      <c r="I9" s="10" t="s">
        <v>16</v>
      </c>
      <c r="J9" s="11"/>
      <c r="K9" s="12"/>
      <c r="M9" s="14"/>
      <c r="P9">
        <v>6</v>
      </c>
      <c r="Q9" s="15" t="s">
        <v>20</v>
      </c>
      <c r="R9">
        <v>34.799999999999997</v>
      </c>
      <c r="S9">
        <v>28</v>
      </c>
      <c r="T9">
        <v>1</v>
      </c>
    </row>
    <row r="10" spans="1:20" x14ac:dyDescent="0.25">
      <c r="A10" s="16" t="s">
        <v>18</v>
      </c>
      <c r="B10" s="17">
        <v>0</v>
      </c>
      <c r="C10" s="18" t="s">
        <v>19</v>
      </c>
      <c r="D10" s="19">
        <v>1.8169999999999999</v>
      </c>
      <c r="E10" s="19">
        <v>1.8080000000000001</v>
      </c>
      <c r="F10" s="20">
        <f t="shared" ref="F10:F14" si="0">(AVERAGE(D10:E10)/AVERAGE($D$10:$E$10))</f>
        <v>1</v>
      </c>
      <c r="G10" s="21">
        <f t="shared" ref="G10:G14" si="1">IF(OR(D10="",E10=""),"",IF(D10=E10,"0,00%",STDEV(D10:E10)/AVERAGE(D10:E10)))</f>
        <v>3.5111509134779888E-3</v>
      </c>
      <c r="H10" s="22"/>
      <c r="I10" s="23"/>
      <c r="J10" s="11"/>
      <c r="K10" s="24"/>
      <c r="M10" s="14"/>
      <c r="P10">
        <v>7</v>
      </c>
      <c r="Q10" s="15" t="s">
        <v>22</v>
      </c>
      <c r="R10">
        <v>34.799999999999997</v>
      </c>
      <c r="S10">
        <v>28</v>
      </c>
      <c r="T10">
        <v>1</v>
      </c>
    </row>
    <row r="11" spans="1:20" x14ac:dyDescent="0.25">
      <c r="A11" s="25" t="s">
        <v>21</v>
      </c>
      <c r="B11" s="26">
        <v>1</v>
      </c>
      <c r="C11" s="18" t="s">
        <v>19</v>
      </c>
      <c r="D11" s="19">
        <v>1.48</v>
      </c>
      <c r="E11" s="19">
        <v>1.5860000000000001</v>
      </c>
      <c r="F11" s="20">
        <f t="shared" si="0"/>
        <v>0.84579310344827585</v>
      </c>
      <c r="G11" s="21">
        <f t="shared" si="1"/>
        <v>4.8893228183805683E-2</v>
      </c>
      <c r="H11" s="22">
        <f>LOG(B11)</f>
        <v>0</v>
      </c>
      <c r="I11" s="22">
        <f>IF($E$14="","",LOG((F11/(1-F11))))</f>
        <v>0.73916034263193298</v>
      </c>
      <c r="J11" s="11"/>
      <c r="K11" s="24"/>
      <c r="M11" s="27"/>
      <c r="P11">
        <v>8</v>
      </c>
      <c r="Q11" s="15" t="s">
        <v>24</v>
      </c>
      <c r="R11">
        <v>34.799999999999997</v>
      </c>
      <c r="S11">
        <v>28</v>
      </c>
      <c r="T11">
        <v>1</v>
      </c>
    </row>
    <row r="12" spans="1:20" x14ac:dyDescent="0.25">
      <c r="A12" s="25" t="s">
        <v>23</v>
      </c>
      <c r="B12" s="26">
        <v>3</v>
      </c>
      <c r="C12" s="18" t="s">
        <v>19</v>
      </c>
      <c r="D12" s="19">
        <v>1.155</v>
      </c>
      <c r="E12" s="19">
        <v>1.1739999999999999</v>
      </c>
      <c r="F12" s="20">
        <f t="shared" si="0"/>
        <v>0.6424827586206896</v>
      </c>
      <c r="G12" s="21">
        <f t="shared" si="1"/>
        <v>1.1537165171785605E-2</v>
      </c>
      <c r="H12" s="22">
        <f>LOG(B12)</f>
        <v>0.47712125471966244</v>
      </c>
      <c r="I12" s="22">
        <f>IF($E$14="","",LOG((F12/(1-F12))))</f>
        <v>0.25456448700010603</v>
      </c>
      <c r="J12" s="11"/>
      <c r="K12" s="24"/>
      <c r="M12" s="27"/>
      <c r="P12">
        <v>9</v>
      </c>
      <c r="Q12" s="15" t="s">
        <v>26</v>
      </c>
      <c r="R12">
        <v>34.799999999999997</v>
      </c>
      <c r="S12">
        <v>28</v>
      </c>
      <c r="T12">
        <v>1</v>
      </c>
    </row>
    <row r="13" spans="1:20" x14ac:dyDescent="0.25">
      <c r="A13" s="25" t="s">
        <v>25</v>
      </c>
      <c r="B13" s="26">
        <v>10</v>
      </c>
      <c r="C13" s="18" t="s">
        <v>19</v>
      </c>
      <c r="D13" s="19">
        <v>0.498</v>
      </c>
      <c r="E13" s="19">
        <v>0.52</v>
      </c>
      <c r="F13" s="20">
        <f t="shared" si="0"/>
        <v>0.28082758620689657</v>
      </c>
      <c r="G13" s="21">
        <f t="shared" si="1"/>
        <v>3.0562572074860628E-2</v>
      </c>
      <c r="H13" s="22">
        <f>LOG(B13)</f>
        <v>1</v>
      </c>
      <c r="I13" s="22">
        <f>IF($E$14="","",LOG((F13/(1-F13))))</f>
        <v>-0.4083932531675889</v>
      </c>
      <c r="J13" s="11"/>
      <c r="K13" s="24"/>
      <c r="M13" s="27"/>
      <c r="P13">
        <v>10</v>
      </c>
      <c r="Q13" s="15" t="s">
        <v>28</v>
      </c>
      <c r="R13">
        <v>34.799999999999997</v>
      </c>
      <c r="S13">
        <v>28</v>
      </c>
      <c r="T13">
        <v>1</v>
      </c>
    </row>
    <row r="14" spans="1:20" x14ac:dyDescent="0.25">
      <c r="A14" s="28" t="s">
        <v>27</v>
      </c>
      <c r="B14" s="29">
        <v>40</v>
      </c>
      <c r="C14" s="54" t="s">
        <v>19</v>
      </c>
      <c r="D14" s="19">
        <v>0.156</v>
      </c>
      <c r="E14" s="19">
        <v>0.16200000000000001</v>
      </c>
      <c r="F14" s="20">
        <f t="shared" si="0"/>
        <v>8.7724137931034479E-2</v>
      </c>
      <c r="G14" s="21">
        <f t="shared" si="1"/>
        <v>2.6683274761756536E-2</v>
      </c>
      <c r="H14" s="22">
        <f>LOG(B14)</f>
        <v>1.6020599913279623</v>
      </c>
      <c r="I14" s="22">
        <f>IF($E$14="","",LOG((F14/(1-F14))))</f>
        <v>-1.0170070749292701</v>
      </c>
      <c r="J14" s="11"/>
      <c r="K14" s="24"/>
      <c r="M14" s="27"/>
      <c r="P14">
        <v>11</v>
      </c>
      <c r="Q14" s="15" t="s">
        <v>42</v>
      </c>
      <c r="R14">
        <v>34.799999999999997</v>
      </c>
      <c r="S14">
        <v>28</v>
      </c>
      <c r="T14">
        <v>1</v>
      </c>
    </row>
    <row r="15" spans="1:20" x14ac:dyDescent="0.25">
      <c r="A15" s="3"/>
      <c r="B15" s="3"/>
      <c r="C15" s="3"/>
      <c r="D15" s="3"/>
      <c r="E15" s="3"/>
      <c r="F15" s="3"/>
      <c r="G15" s="30"/>
      <c r="H15" s="3"/>
      <c r="I15" s="3"/>
      <c r="J15" s="31"/>
      <c r="K15" s="31"/>
      <c r="L15" s="3"/>
      <c r="M15" s="31"/>
      <c r="P15">
        <v>12</v>
      </c>
      <c r="Q15" s="15" t="s">
        <v>39</v>
      </c>
      <c r="T15">
        <v>0.68</v>
      </c>
    </row>
    <row r="16" spans="1:20" x14ac:dyDescent="0.25">
      <c r="A16" s="3"/>
      <c r="B16" s="3"/>
      <c r="C16" s="3"/>
      <c r="D16" s="3"/>
      <c r="E16" s="3"/>
      <c r="F16" s="3"/>
      <c r="G16" s="32"/>
      <c r="H16" s="33"/>
      <c r="I16" s="14"/>
      <c r="J16" s="3"/>
      <c r="K16" s="3"/>
      <c r="L16" s="3"/>
      <c r="M16" s="3"/>
      <c r="P16">
        <v>13</v>
      </c>
      <c r="Q16" s="15" t="s">
        <v>38</v>
      </c>
      <c r="T16">
        <v>0.57999999999999996</v>
      </c>
    </row>
    <row r="17" spans="1:13" x14ac:dyDescent="0.25">
      <c r="A17" s="3"/>
      <c r="B17" s="3"/>
      <c r="C17" s="3"/>
      <c r="D17" s="3"/>
      <c r="E17" s="3"/>
      <c r="F17" s="3"/>
      <c r="G17" s="34"/>
      <c r="H17" s="55"/>
      <c r="I17" s="35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6"/>
    </row>
    <row r="19" spans="1:13" ht="15.75" x14ac:dyDescent="0.25">
      <c r="A19" s="1" t="s">
        <v>29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40.5" customHeight="1" x14ac:dyDescent="0.25">
      <c r="A20" s="37" t="s">
        <v>30</v>
      </c>
      <c r="B20" s="100" t="s">
        <v>31</v>
      </c>
      <c r="C20" s="100"/>
      <c r="D20" s="98" t="s">
        <v>32</v>
      </c>
      <c r="E20" s="101"/>
      <c r="F20" s="38" t="s">
        <v>33</v>
      </c>
      <c r="G20" s="38" t="s">
        <v>34</v>
      </c>
      <c r="H20" s="10" t="s">
        <v>35</v>
      </c>
      <c r="I20" s="38" t="s">
        <v>14</v>
      </c>
      <c r="J20" s="10" t="s">
        <v>36</v>
      </c>
      <c r="K20" s="82"/>
      <c r="L20" s="38" t="s">
        <v>57</v>
      </c>
      <c r="M20" s="39" t="s">
        <v>37</v>
      </c>
    </row>
    <row r="21" spans="1:13" x14ac:dyDescent="0.25">
      <c r="A21" s="40" t="s">
        <v>18</v>
      </c>
      <c r="B21" s="88" t="s">
        <v>11</v>
      </c>
      <c r="C21" s="88"/>
      <c r="D21" s="89"/>
      <c r="E21" s="90"/>
      <c r="F21" s="41"/>
      <c r="G21" s="42">
        <f>AVERAGE(D10:E10)</f>
        <v>1.8125</v>
      </c>
      <c r="H21" s="43"/>
      <c r="I21" s="43"/>
      <c r="J21" s="44"/>
      <c r="K21" s="45"/>
      <c r="L21" s="22"/>
      <c r="M21" s="46"/>
    </row>
    <row r="22" spans="1:13" x14ac:dyDescent="0.25">
      <c r="A22" s="40" t="s">
        <v>21</v>
      </c>
      <c r="B22" s="88" t="s">
        <v>11</v>
      </c>
      <c r="C22" s="88"/>
      <c r="D22" s="89"/>
      <c r="E22" s="90"/>
      <c r="F22" s="41"/>
      <c r="G22" s="42">
        <f>AVERAGE(D11:E11)</f>
        <v>1.5329999999999999</v>
      </c>
      <c r="H22" s="43">
        <f>IF(G22="","",LOG(((G22/G$21)/(1-(G22/G$21)))))</f>
        <v>0.73916034263193298</v>
      </c>
      <c r="I22" s="43"/>
      <c r="J22" s="22">
        <f>ROUND(10^((H22-INTERCEPT($I$11:$I$14,$H$11:$H$14))/SLOPE($I$11:$I$14,$H$11:$H$14)),2)</f>
        <v>1.02</v>
      </c>
      <c r="K22" s="47"/>
      <c r="L22" s="87">
        <f>ROUND(J22,1)</f>
        <v>1</v>
      </c>
      <c r="M22" s="48"/>
    </row>
    <row r="23" spans="1:13" x14ac:dyDescent="0.25">
      <c r="A23" s="40" t="s">
        <v>23</v>
      </c>
      <c r="B23" s="88" t="s">
        <v>11</v>
      </c>
      <c r="C23" s="88"/>
      <c r="D23" s="89"/>
      <c r="E23" s="90"/>
      <c r="F23" s="41"/>
      <c r="G23" s="42">
        <f>AVERAGE(D12:E12)</f>
        <v>1.1644999999999999</v>
      </c>
      <c r="H23" s="43">
        <f>IF(G23="","",LOG(((G23/G$21)/(1-(G23/G$21)))))</f>
        <v>0.25456448700010603</v>
      </c>
      <c r="I23" s="43"/>
      <c r="J23" s="22">
        <f>ROUND(10^((H23-INTERCEPT($I$11:$I$14,$H$11:$H$14))/SLOPE($I$11:$I$14,$H$11:$H$14)),2)</f>
        <v>2.78</v>
      </c>
      <c r="K23" s="47"/>
      <c r="L23" s="87">
        <f>ROUND(J23,1)</f>
        <v>2.8</v>
      </c>
      <c r="M23" s="48"/>
    </row>
    <row r="24" spans="1:13" x14ac:dyDescent="0.25">
      <c r="A24" s="40" t="s">
        <v>25</v>
      </c>
      <c r="B24" s="88" t="s">
        <v>11</v>
      </c>
      <c r="C24" s="88"/>
      <c r="D24" s="89"/>
      <c r="E24" s="90"/>
      <c r="F24" s="41"/>
      <c r="G24" s="42">
        <f>AVERAGE(D13:E13)</f>
        <v>0.50900000000000001</v>
      </c>
      <c r="H24" s="43">
        <f>IF(G24="","",LOG(((G24/G$21)/(1-(G24/G$21)))))</f>
        <v>-0.4083932531675889</v>
      </c>
      <c r="I24" s="43"/>
      <c r="J24" s="22">
        <f>ROUND(10^((H24-INTERCEPT($I$11:$I$14,$H$11:$H$14))/SLOPE($I$11:$I$14,$H$11:$H$14)),2)</f>
        <v>10.96</v>
      </c>
      <c r="K24" s="47"/>
      <c r="L24" s="87">
        <f>ROUND(J24,1)</f>
        <v>11</v>
      </c>
      <c r="M24" s="48"/>
    </row>
    <row r="25" spans="1:13" x14ac:dyDescent="0.25">
      <c r="A25" s="40" t="s">
        <v>27</v>
      </c>
      <c r="B25" s="88" t="s">
        <v>11</v>
      </c>
      <c r="C25" s="88"/>
      <c r="D25" s="89"/>
      <c r="E25" s="90"/>
      <c r="F25" s="41"/>
      <c r="G25" s="42">
        <f>AVERAGE(D14:E14)</f>
        <v>0.159</v>
      </c>
      <c r="H25" s="43">
        <f>IF(G25="","",LOG(((G25/G$21)/(1-(G25/G$21)))))</f>
        <v>-1.0170070749292701</v>
      </c>
      <c r="I25" s="43"/>
      <c r="J25" s="22">
        <f>ROUND(10^((H25-INTERCEPT($I$11:$I$14,$H$11:$H$14))/SLOPE($I$11:$I$14,$H$11:$H$14)),2)</f>
        <v>38.64</v>
      </c>
      <c r="K25" s="47"/>
      <c r="L25" s="87">
        <f>ROUND(J25,1)</f>
        <v>38.6</v>
      </c>
      <c r="M25" s="48"/>
    </row>
    <row r="26" spans="1:13" x14ac:dyDescent="0.25">
      <c r="A26" s="40"/>
      <c r="B26" s="88"/>
      <c r="C26" s="88"/>
      <c r="D26" s="89"/>
      <c r="E26" s="90"/>
      <c r="F26" s="49"/>
      <c r="G26" s="50"/>
      <c r="H26" s="43"/>
      <c r="I26" s="43"/>
      <c r="J26" s="44"/>
      <c r="K26" s="45"/>
      <c r="L26" s="87"/>
      <c r="M26" s="51"/>
    </row>
    <row r="27" spans="1:13" x14ac:dyDescent="0.25">
      <c r="A27" s="108">
        <v>1</v>
      </c>
      <c r="B27" s="110"/>
      <c r="C27" s="111"/>
      <c r="D27" s="106">
        <v>3</v>
      </c>
      <c r="E27" s="107"/>
      <c r="F27" s="114">
        <f>VLOOKUP(D27,$P$4:$T$16,5,FALSE)</f>
        <v>1</v>
      </c>
      <c r="G27" s="52">
        <v>0.498</v>
      </c>
      <c r="H27" s="43">
        <f>IF(G27="","",IF(G27&gt;G$21,"",LOG(((G27/G$21)/(1-(G27/G$21))))))</f>
        <v>-0.42153124768266398</v>
      </c>
      <c r="I27" s="116">
        <f>IF(OR(G28="",G27=""),"",STDEV(G27:G28)/AVERAGE(G27:G28))</f>
        <v>3.0562572074860628E-2</v>
      </c>
      <c r="J27" s="22">
        <f>IF(G27="","",IF($G$21/G27&lt;1,"менее 2,0",IF(10^((H27-INTERCEPT($I$11:$I$14,$H$11:$H$14))/SLOPE($I$11:$I$14,$H$11:$H$14))&gt;$B$14,"более "&amp;$B$14&amp;",0",IF(10^((H27-INTERCEPT($I$11:$I$14,$H$11:$H$14))/SLOPE($I$11:$I$14,$H$11:$H$14))&lt;2,"менее 2,0",ROUND(10^((H27-INTERCEPT($I$11:$I$14,$H$11:$H$14))/SLOPE($I$11:$I$14,$H$11:$H$14))*F27,2)))))</f>
        <v>11.26</v>
      </c>
      <c r="K27" s="80">
        <f>ABS(J27-J28)</f>
        <v>0.58999999999999986</v>
      </c>
      <c r="L27" s="103">
        <f>IF(OR(J27="",J28=""),"",IF(OR(J27="менее 2,0",J28="менее 2,0"),"менее 2,0",IF(OR(J27="более "&amp;$B$14&amp;",0",J28="более "&amp;$B$14&amp;",0"),"более "&amp;$B$14&amp;",0",ROUND(AVERAGE(J27:J28),1))))</f>
        <v>11</v>
      </c>
      <c r="M27" s="104"/>
    </row>
    <row r="28" spans="1:13" x14ac:dyDescent="0.25">
      <c r="A28" s="109"/>
      <c r="B28" s="112"/>
      <c r="C28" s="113"/>
      <c r="D28" s="106"/>
      <c r="E28" s="107"/>
      <c r="F28" s="115"/>
      <c r="G28" s="52">
        <v>0.52</v>
      </c>
      <c r="H28" s="43">
        <f t="shared" ref="H28:H66" si="2">IF(G28="","",IF(G28&gt;G$21,"",LOG(((G28/G$21)/(1-(G28/G$21))))))</f>
        <v>-0.39542720813118098</v>
      </c>
      <c r="I28" s="117">
        <f t="shared" ref="I28:I64" si="3">IF(G28=H28,"0,0%",STDEV(G28:H28)/AVERAGE(G28:H28))</f>
        <v>10.392394307640938</v>
      </c>
      <c r="J28" s="22">
        <f>IF(G28="","",IF($G$21/G28&lt;1,"менее 2,0",IF(10^((H28-INTERCEPT($I$11:$I$14,$H$11:$H$14))/SLOPE($I$11:$I$14,$H$11:$H$14))&gt;$B$14,"более "&amp;$B$14&amp;",0",IF(10^((H28-INTERCEPT($I$11:$I$14,$H$11:$H$14))/SLOPE($I$11:$I$14,$H$11:$H$14))&lt;2,"менее 2,0",ROUND(10^((H28-INTERCEPT($I$11:$I$14,$H$11:$H$14))/SLOPE($I$11:$I$14,$H$11:$H$14))*F27,2)))))</f>
        <v>10.67</v>
      </c>
      <c r="K28" s="81">
        <f>IF(OR(D27=12,D27=13),"",VLOOKUP(D27,$P$4:$T$16,3,FALSE))</f>
        <v>26.9</v>
      </c>
      <c r="L28" s="103"/>
      <c r="M28" s="105"/>
    </row>
    <row r="29" spans="1:13" x14ac:dyDescent="0.25">
      <c r="A29" s="108">
        <v>2</v>
      </c>
      <c r="B29" s="110"/>
      <c r="C29" s="111"/>
      <c r="D29" s="106">
        <v>12</v>
      </c>
      <c r="E29" s="107"/>
      <c r="F29" s="114">
        <f>VLOOKUP(D29,$P$4:$T$16,5,FALSE)</f>
        <v>0.68</v>
      </c>
      <c r="G29" s="52">
        <v>1.7070000000000001</v>
      </c>
      <c r="H29" s="43">
        <f t="shared" si="2"/>
        <v>1.2089810614810226</v>
      </c>
      <c r="I29" s="116">
        <f>IF(OR(G30="",G29=""),"",STDEV(G29:G30)/AVERAGE(G29:G30))</f>
        <v>1.6550187973939103E-3</v>
      </c>
      <c r="J29" s="22" t="str">
        <f t="shared" ref="J29" si="4">IF(G29="","",IF($G$21/G29&lt;1,"менее 2,0",IF(10^((H29-INTERCEPT($I$11:$I$14,$H$11:$H$14))/SLOPE($I$11:$I$14,$H$11:$H$14))&gt;$B$14,"более "&amp;$B$14&amp;",0",IF(10^((H29-INTERCEPT($I$11:$I$14,$H$11:$H$14))/SLOPE($I$11:$I$14,$H$11:$H$14))&lt;2,"менее 2,0",ROUND(10^((H29-INTERCEPT($I$11:$I$14,$H$11:$H$14))/SLOPE($I$11:$I$14,$H$11:$H$14))*F29,2)))))</f>
        <v>менее 2,0</v>
      </c>
      <c r="K29" s="80" t="e">
        <f t="shared" ref="K29" si="5">ABS(J29-J30)</f>
        <v>#VALUE!</v>
      </c>
      <c r="L29" s="103" t="str">
        <f>IF(OR(J29="",J30=""),"",IF(OR(J29="менее 2,0",J30="менее 2,0"),"менее 2,0",IF(OR(J29="более "&amp;$B$14&amp;",0",J30="более "&amp;$B$14&amp;",0"),"более "&amp;$B$14&amp;",0",ROUND(AVERAGE(J29:J30),1))))</f>
        <v>менее 2,0</v>
      </c>
      <c r="M29" s="104"/>
    </row>
    <row r="30" spans="1:13" x14ac:dyDescent="0.25">
      <c r="A30" s="109"/>
      <c r="B30" s="112"/>
      <c r="C30" s="113"/>
      <c r="D30" s="106">
        <v>14</v>
      </c>
      <c r="E30" s="107"/>
      <c r="F30" s="115"/>
      <c r="G30" s="52">
        <v>1.7110000000000001</v>
      </c>
      <c r="H30" s="43">
        <f t="shared" si="2"/>
        <v>1.226783967291869</v>
      </c>
      <c r="I30" s="117">
        <f t="shared" si="3"/>
        <v>0.233095723919273</v>
      </c>
      <c r="J30" s="22" t="str">
        <f t="shared" ref="J30" si="6">IF(G30="","",IF($G$21/G30&lt;1,"менее 2,0",IF(10^((H30-INTERCEPT($I$11:$I$14,$H$11:$H$14))/SLOPE($I$11:$I$14,$H$11:$H$14))&gt;$B$14,"более "&amp;$B$14&amp;",0",IF(10^((H30-INTERCEPT($I$11:$I$14,$H$11:$H$14))/SLOPE($I$11:$I$14,$H$11:$H$14))&lt;2,"менее 2,0",ROUND(10^((H30-INTERCEPT($I$11:$I$14,$H$11:$H$14))/SLOPE($I$11:$I$14,$H$11:$H$14))*F29,2)))))</f>
        <v>менее 2,0</v>
      </c>
      <c r="K30" s="81" t="str">
        <f>IF(OR(D29=12,D29=13),"",VLOOKUP(D29,$P$4:$T$16,3,FALSE))</f>
        <v/>
      </c>
      <c r="L30" s="103"/>
      <c r="M30" s="105"/>
    </row>
    <row r="31" spans="1:13" x14ac:dyDescent="0.25">
      <c r="A31" s="108">
        <v>3</v>
      </c>
      <c r="B31" s="110"/>
      <c r="C31" s="111"/>
      <c r="D31" s="106">
        <v>11</v>
      </c>
      <c r="E31" s="107"/>
      <c r="F31" s="114">
        <f t="shared" ref="F31:F32" si="7">VLOOKUP(D31,$P$4:$T$16,5,FALSE)</f>
        <v>1</v>
      </c>
      <c r="G31" s="52">
        <v>1.8</v>
      </c>
      <c r="H31" s="43">
        <f t="shared" si="2"/>
        <v>2.1583624920952489</v>
      </c>
      <c r="I31" s="116">
        <f>IF(OR(G32="",G31=""),"",STDEV(G31:G32)/AVERAGE(G31:G32))</f>
        <v>0</v>
      </c>
      <c r="J31" s="22" t="str">
        <f t="shared" ref="J31" si="8">IF(G31="","",IF($G$21/G31&lt;1,"менее 2,0",IF(10^((H31-INTERCEPT($I$11:$I$14,$H$11:$H$14))/SLOPE($I$11:$I$14,$H$11:$H$14))&gt;$B$14,"более "&amp;$B$14&amp;",0",IF(10^((H31-INTERCEPT($I$11:$I$14,$H$11:$H$14))/SLOPE($I$11:$I$14,$H$11:$H$14))&lt;2,"менее 2,0",ROUND(10^((H31-INTERCEPT($I$11:$I$14,$H$11:$H$14))/SLOPE($I$11:$I$14,$H$11:$H$14))*F31,2)))))</f>
        <v>менее 2,0</v>
      </c>
      <c r="K31" s="80" t="e">
        <f t="shared" ref="K31" si="9">ABS(J31-J32)</f>
        <v>#VALUE!</v>
      </c>
      <c r="L31" s="103" t="str">
        <f>IF(OR(J31="",J32=""),"",IF(OR(J31="менее 2,0",J32="менее 2,0"),"менее 2,0",IF(OR(J31="более "&amp;$B$14&amp;",0",J32="более "&amp;$B$14&amp;",0"),"более "&amp;$B$14&amp;",0",ROUND(AVERAGE(J31:J32),1))))</f>
        <v>менее 2,0</v>
      </c>
      <c r="M31" s="104"/>
    </row>
    <row r="32" spans="1:13" x14ac:dyDescent="0.25">
      <c r="A32" s="109"/>
      <c r="B32" s="112"/>
      <c r="C32" s="113"/>
      <c r="D32" s="106">
        <v>16</v>
      </c>
      <c r="E32" s="107"/>
      <c r="F32" s="115"/>
      <c r="G32" s="52">
        <v>1.8</v>
      </c>
      <c r="H32" s="43">
        <f t="shared" si="2"/>
        <v>2.1583624920952489</v>
      </c>
      <c r="I32" s="117">
        <f t="shared" si="3"/>
        <v>0.1280330180924539</v>
      </c>
      <c r="J32" s="22" t="str">
        <f t="shared" ref="J32" si="10">IF(G32="","",IF($G$21/G32&lt;1,"менее 2,0",IF(10^((H32-INTERCEPT($I$11:$I$14,$H$11:$H$14))/SLOPE($I$11:$I$14,$H$11:$H$14))&gt;$B$14,"более "&amp;$B$14&amp;",0",IF(10^((H32-INTERCEPT($I$11:$I$14,$H$11:$H$14))/SLOPE($I$11:$I$14,$H$11:$H$14))&lt;2,"менее 2,0",ROUND(10^((H32-INTERCEPT($I$11:$I$14,$H$11:$H$14))/SLOPE($I$11:$I$14,$H$11:$H$14))*F31,2)))))</f>
        <v>менее 2,0</v>
      </c>
      <c r="K32" s="81">
        <f>IF(OR(D31=12,D31=13),"",VLOOKUP(D31,$P$4:$T$16,3,FALSE))</f>
        <v>34.799999999999997</v>
      </c>
      <c r="L32" s="103"/>
      <c r="M32" s="105"/>
    </row>
    <row r="33" spans="1:13" x14ac:dyDescent="0.25">
      <c r="A33" s="108">
        <v>4</v>
      </c>
      <c r="B33" s="110"/>
      <c r="C33" s="111"/>
      <c r="D33" s="106">
        <v>11</v>
      </c>
      <c r="E33" s="107"/>
      <c r="F33" s="114">
        <f>VLOOKUP(D33,$P$4:$T$16,5,FALSE)</f>
        <v>1</v>
      </c>
      <c r="G33" s="52">
        <v>1.8460000000000001</v>
      </c>
      <c r="H33" s="43" t="str">
        <f t="shared" si="2"/>
        <v/>
      </c>
      <c r="I33" s="116">
        <f>IF(OR(G34="",G33=""),"",STDEV(G33:G34)/AVERAGE(G33:G34))</f>
        <v>2.6762624862426382E-3</v>
      </c>
      <c r="J33" s="22" t="str">
        <f t="shared" ref="J33" si="11">IF(G33="","",IF($G$21/G33&lt;1,"менее 2,0",IF(10^((H33-INTERCEPT($I$11:$I$14,$H$11:$H$14))/SLOPE($I$11:$I$14,$H$11:$H$14))&gt;$B$14,"более "&amp;$B$14&amp;",0",IF(10^((H33-INTERCEPT($I$11:$I$14,$H$11:$H$14))/SLOPE($I$11:$I$14,$H$11:$H$14))&lt;2,"менее 2,0",ROUND(10^((H33-INTERCEPT($I$11:$I$14,$H$11:$H$14))/SLOPE($I$11:$I$14,$H$11:$H$14))*F33,2)))))</f>
        <v>менее 2,0</v>
      </c>
      <c r="K33" s="80" t="e">
        <f t="shared" ref="K33" si="12">ABS(J33-J34)</f>
        <v>#VALUE!</v>
      </c>
      <c r="L33" s="103" t="str">
        <f>IF(OR(J33="",J34=""),"",IF(OR(J33="менее 2,0",J34="менее 2,0"),"менее 2,0",IF(OR(J33="более "&amp;$B$14&amp;",0",J34="более "&amp;$B$14&amp;",0"),"более "&amp;$B$14&amp;",0",ROUND(AVERAGE(J33:J34),1))))</f>
        <v>менее 2,0</v>
      </c>
      <c r="M33" s="104"/>
    </row>
    <row r="34" spans="1:13" x14ac:dyDescent="0.25">
      <c r="A34" s="109"/>
      <c r="B34" s="112"/>
      <c r="C34" s="113"/>
      <c r="D34" s="106">
        <v>18</v>
      </c>
      <c r="E34" s="107"/>
      <c r="F34" s="115"/>
      <c r="G34" s="52">
        <v>1.853</v>
      </c>
      <c r="H34" s="43" t="str">
        <f t="shared" si="2"/>
        <v/>
      </c>
      <c r="I34" s="117" t="e">
        <f t="shared" si="3"/>
        <v>#DIV/0!</v>
      </c>
      <c r="J34" s="22" t="str">
        <f t="shared" ref="J34" si="13">IF(G34="","",IF($G$21/G34&lt;1,"менее 2,0",IF(10^((H34-INTERCEPT($I$11:$I$14,$H$11:$H$14))/SLOPE($I$11:$I$14,$H$11:$H$14))&gt;$B$14,"более "&amp;$B$14&amp;",0",IF(10^((H34-INTERCEPT($I$11:$I$14,$H$11:$H$14))/SLOPE($I$11:$I$14,$H$11:$H$14))&lt;2,"менее 2,0",ROUND(10^((H34-INTERCEPT($I$11:$I$14,$H$11:$H$14))/SLOPE($I$11:$I$14,$H$11:$H$14))*F33,2)))))</f>
        <v>менее 2,0</v>
      </c>
      <c r="K34" s="81">
        <f>IF(OR(D33=12,D33=13),"",VLOOKUP(D33,$P$4:$T$16,3,FALSE))</f>
        <v>34.799999999999997</v>
      </c>
      <c r="L34" s="103"/>
      <c r="M34" s="105"/>
    </row>
    <row r="35" spans="1:13" x14ac:dyDescent="0.25">
      <c r="A35" s="108">
        <v>5</v>
      </c>
      <c r="B35" s="110"/>
      <c r="C35" s="111"/>
      <c r="D35" s="106">
        <v>10</v>
      </c>
      <c r="E35" s="107"/>
      <c r="F35" s="114">
        <f>VLOOKUP(D35,$P$4:$T$16,5,FALSE)</f>
        <v>1</v>
      </c>
      <c r="G35" s="52">
        <v>1.698</v>
      </c>
      <c r="H35" s="43">
        <f t="shared" si="2"/>
        <v>1.1711321992320269</v>
      </c>
      <c r="I35" s="116">
        <f>IF(OR(G36="",G35=""),"",STDEV(G35:G36)/AVERAGE(G35:G36))</f>
        <v>3.3393472547180551E-3</v>
      </c>
      <c r="J35" s="22" t="str">
        <f t="shared" ref="J35" si="14">IF(G35="","",IF($G$21/G35&lt;1,"менее 2,0",IF(10^((H35-INTERCEPT($I$11:$I$14,$H$11:$H$14))/SLOPE($I$11:$I$14,$H$11:$H$14))&gt;$B$14,"более "&amp;$B$14&amp;",0",IF(10^((H35-INTERCEPT($I$11:$I$14,$H$11:$H$14))/SLOPE($I$11:$I$14,$H$11:$H$14))&lt;2,"менее 2,0",ROUND(10^((H35-INTERCEPT($I$11:$I$14,$H$11:$H$14))/SLOPE($I$11:$I$14,$H$11:$H$14))*F35,2)))))</f>
        <v>менее 2,0</v>
      </c>
      <c r="K35" s="80" t="e">
        <f t="shared" ref="K35" si="15">ABS(J35-J36)</f>
        <v>#VALUE!</v>
      </c>
      <c r="L35" s="103" t="str">
        <f>IF(OR(J35="",J36=""),"",IF(OR(J35="менее 2,0",J36="менее 2,0"),"менее 2,0",IF(OR(J35="более "&amp;$B$14&amp;",0",J36="более "&amp;$B$14&amp;",0"),"более "&amp;$B$14&amp;",0",ROUND(AVERAGE(J35:J36),1))))</f>
        <v>менее 2,0</v>
      </c>
      <c r="M35" s="104"/>
    </row>
    <row r="36" spans="1:13" x14ac:dyDescent="0.25">
      <c r="A36" s="109"/>
      <c r="B36" s="112"/>
      <c r="C36" s="113"/>
      <c r="D36" s="106">
        <v>20</v>
      </c>
      <c r="E36" s="107"/>
      <c r="F36" s="115"/>
      <c r="G36" s="52">
        <v>1.69</v>
      </c>
      <c r="H36" s="43">
        <f t="shared" si="2"/>
        <v>1.1397506159131223</v>
      </c>
      <c r="I36" s="117">
        <f t="shared" si="3"/>
        <v>0.2749960145912006</v>
      </c>
      <c r="J36" s="22" t="str">
        <f t="shared" ref="J36" si="16">IF(G36="","",IF($G$21/G36&lt;1,"менее 2,0",IF(10^((H36-INTERCEPT($I$11:$I$14,$H$11:$H$14))/SLOPE($I$11:$I$14,$H$11:$H$14))&gt;$B$14,"более "&amp;$B$14&amp;",0",IF(10^((H36-INTERCEPT($I$11:$I$14,$H$11:$H$14))/SLOPE($I$11:$I$14,$H$11:$H$14))&lt;2,"менее 2,0",ROUND(10^((H36-INTERCEPT($I$11:$I$14,$H$11:$H$14))/SLOPE($I$11:$I$14,$H$11:$H$14))*F35,2)))))</f>
        <v>менее 2,0</v>
      </c>
      <c r="K36" s="81">
        <f>IF(OR(D35=12,D35=13),"",VLOOKUP(D35,$P$4:$T$16,3,FALSE))</f>
        <v>34.799999999999997</v>
      </c>
      <c r="L36" s="103"/>
      <c r="M36" s="105"/>
    </row>
    <row r="37" spans="1:13" x14ac:dyDescent="0.25">
      <c r="A37" s="108">
        <v>6</v>
      </c>
      <c r="B37" s="110"/>
      <c r="C37" s="111"/>
      <c r="D37" s="106">
        <v>6</v>
      </c>
      <c r="E37" s="107"/>
      <c r="F37" s="114">
        <f>VLOOKUP(D37,$P$4:$T$16,5,FALSE)</f>
        <v>1</v>
      </c>
      <c r="G37" s="52">
        <v>0.56399999999999995</v>
      </c>
      <c r="H37" s="43">
        <f t="shared" si="2"/>
        <v>-0.34510944270402438</v>
      </c>
      <c r="I37" s="116">
        <f>IF(OR(G38="",G37=""),"",STDEV(G37:G38)/AVERAGE(G37:G38))</f>
        <v>1.9059481972683097E-2</v>
      </c>
      <c r="J37" s="22">
        <f t="shared" ref="J37" si="17">IF(G37="","",IF($G$21/G37&lt;1,"менее 2,0",IF(10^((H37-INTERCEPT($I$11:$I$14,$H$11:$H$14))/SLOPE($I$11:$I$14,$H$11:$H$14))&gt;$B$14,"более "&amp;$B$14&amp;",0",IF(10^((H37-INTERCEPT($I$11:$I$14,$H$11:$H$14))/SLOPE($I$11:$I$14,$H$11:$H$14))&lt;2,"менее 2,0",ROUND(10^((H37-INTERCEPT($I$11:$I$14,$H$11:$H$14))/SLOPE($I$11:$I$14,$H$11:$H$14))*F37,2)))))</f>
        <v>9.6199999999999992</v>
      </c>
      <c r="K37" s="80">
        <f t="shared" ref="K37" si="18">ABS(J37-J38)</f>
        <v>0.34000000000000163</v>
      </c>
      <c r="L37" s="103">
        <f>IF(OR(J37="",J38=""),"",IF(OR(J37="менее 2,0",J38="менее 2,0"),"менее 2,0",IF(OR(J37="более "&amp;$B$14&amp;",0",J38="более "&amp;$B$14&amp;",0"),"более "&amp;$B$14&amp;",0",ROUND(AVERAGE(J37:J38),1))))</f>
        <v>9.8000000000000007</v>
      </c>
      <c r="M37" s="104"/>
    </row>
    <row r="38" spans="1:13" x14ac:dyDescent="0.25">
      <c r="A38" s="109"/>
      <c r="B38" s="112"/>
      <c r="C38" s="113"/>
      <c r="D38" s="106"/>
      <c r="E38" s="107"/>
      <c r="F38" s="115"/>
      <c r="G38" s="52">
        <v>0.54900000000000004</v>
      </c>
      <c r="H38" s="43">
        <f t="shared" si="2"/>
        <v>-0.3620029018058416</v>
      </c>
      <c r="I38" s="117">
        <f t="shared" si="3"/>
        <v>6.8896933243176539</v>
      </c>
      <c r="J38" s="22">
        <f t="shared" ref="J38" si="19">IF(G38="","",IF($G$21/G38&lt;1,"менее 2,0",IF(10^((H38-INTERCEPT($I$11:$I$14,$H$11:$H$14))/SLOPE($I$11:$I$14,$H$11:$H$14))&gt;$B$14,"более "&amp;$B$14&amp;",0",IF(10^((H38-INTERCEPT($I$11:$I$14,$H$11:$H$14))/SLOPE($I$11:$I$14,$H$11:$H$14))&lt;2,"менее 2,0",ROUND(10^((H38-INTERCEPT($I$11:$I$14,$H$11:$H$14))/SLOPE($I$11:$I$14,$H$11:$H$14))*F37,2)))))</f>
        <v>9.9600000000000009</v>
      </c>
      <c r="K38" s="81">
        <f>IF(OR(D37=12,D37=13),"",VLOOKUP(D37,$P$4:$T$16,3,FALSE))</f>
        <v>34.799999999999997</v>
      </c>
      <c r="L38" s="103"/>
      <c r="M38" s="105"/>
    </row>
    <row r="39" spans="1:13" x14ac:dyDescent="0.25">
      <c r="A39" s="108">
        <v>7</v>
      </c>
      <c r="B39" s="110"/>
      <c r="C39" s="111"/>
      <c r="D39" s="106">
        <v>11</v>
      </c>
      <c r="E39" s="107"/>
      <c r="F39" s="114">
        <f>VLOOKUP(D39,$P$4:$T$16,5,FALSE)</f>
        <v>1</v>
      </c>
      <c r="G39" s="52">
        <v>1.165</v>
      </c>
      <c r="H39" s="43">
        <f t="shared" si="2"/>
        <v>0.25508615260874834</v>
      </c>
      <c r="I39" s="116">
        <f>IF(OR(G40="",G39=""),"",STDEV(G39:G40)/AVERAGE(G39:G40))</f>
        <v>0</v>
      </c>
      <c r="J39" s="22">
        <f t="shared" ref="J39" si="20">IF(G39="","",IF($G$21/G39&lt;1,"менее 2,0",IF(10^((H39-INTERCEPT($I$11:$I$14,$H$11:$H$14))/SLOPE($I$11:$I$14,$H$11:$H$14))&gt;$B$14,"более "&amp;$B$14&amp;",0",IF(10^((H39-INTERCEPT($I$11:$I$14,$H$11:$H$14))/SLOPE($I$11:$I$14,$H$11:$H$14))&lt;2,"менее 2,0",ROUND(10^((H39-INTERCEPT($I$11:$I$14,$H$11:$H$14))/SLOPE($I$11:$I$14,$H$11:$H$14))*F39,2)))))</f>
        <v>2.78</v>
      </c>
      <c r="K39" s="80">
        <f t="shared" ref="K39" si="21">ABS(J39-J40)</f>
        <v>0</v>
      </c>
      <c r="L39" s="103">
        <f>IF(OR(J39="",J40=""),"",IF(OR(J39="менее 2,0",J40="менее 2,0"),"менее 2,0",IF(OR(J39="более "&amp;$B$14&amp;",0",J40="более "&amp;$B$14&amp;",0"),"более "&amp;$B$14&amp;",0",ROUND(AVERAGE(J39:J40),1))))</f>
        <v>2.8</v>
      </c>
      <c r="M39" s="104"/>
    </row>
    <row r="40" spans="1:13" x14ac:dyDescent="0.25">
      <c r="A40" s="109"/>
      <c r="B40" s="112"/>
      <c r="C40" s="113"/>
      <c r="D40" s="106">
        <v>24</v>
      </c>
      <c r="E40" s="107"/>
      <c r="F40" s="115"/>
      <c r="G40" s="52">
        <v>1.165</v>
      </c>
      <c r="H40" s="43">
        <f t="shared" si="2"/>
        <v>0.25508615260874834</v>
      </c>
      <c r="I40" s="117">
        <f t="shared" si="3"/>
        <v>0.90615101147762844</v>
      </c>
      <c r="J40" s="22">
        <f t="shared" ref="J40" si="22">IF(G40="","",IF($G$21/G40&lt;1,"менее 2,0",IF(10^((H40-INTERCEPT($I$11:$I$14,$H$11:$H$14))/SLOPE($I$11:$I$14,$H$11:$H$14))&gt;$B$14,"более "&amp;$B$14&amp;",0",IF(10^((H40-INTERCEPT($I$11:$I$14,$H$11:$H$14))/SLOPE($I$11:$I$14,$H$11:$H$14))&lt;2,"менее 2,0",ROUND(10^((H40-INTERCEPT($I$11:$I$14,$H$11:$H$14))/SLOPE($I$11:$I$14,$H$11:$H$14))*F39,2)))))</f>
        <v>2.78</v>
      </c>
      <c r="K40" s="81">
        <f>IF(OR(D39=12,D39=13),"",VLOOKUP(D39,$P$4:$T$16,3,FALSE))</f>
        <v>34.799999999999997</v>
      </c>
      <c r="L40" s="103"/>
      <c r="M40" s="105"/>
    </row>
    <row r="41" spans="1:13" x14ac:dyDescent="0.25">
      <c r="A41" s="108">
        <v>8</v>
      </c>
      <c r="B41" s="110"/>
      <c r="C41" s="111"/>
      <c r="D41" s="106">
        <v>11</v>
      </c>
      <c r="E41" s="107"/>
      <c r="F41" s="114">
        <f>VLOOKUP(D41,$P$4:$T$16,5,FALSE)</f>
        <v>1</v>
      </c>
      <c r="G41" s="52"/>
      <c r="H41" s="43" t="str">
        <f t="shared" si="2"/>
        <v/>
      </c>
      <c r="I41" s="116" t="str">
        <f>IF(OR(G42="",G41=""),"",STDEV(G41:G42)/AVERAGE(G41:G42))</f>
        <v/>
      </c>
      <c r="J41" s="22" t="str">
        <f t="shared" ref="J41" si="23">IF(G41="","",IF($G$21/G41&lt;1,"менее 2,0",IF(10^((H41-INTERCEPT($I$11:$I$14,$H$11:$H$14))/SLOPE($I$11:$I$14,$H$11:$H$14))&gt;$B$14,"более "&amp;$B$14&amp;",0",IF(10^((H41-INTERCEPT($I$11:$I$14,$H$11:$H$14))/SLOPE($I$11:$I$14,$H$11:$H$14))&lt;2,"менее 2,0",ROUND(10^((H41-INTERCEPT($I$11:$I$14,$H$11:$H$14))/SLOPE($I$11:$I$14,$H$11:$H$14))*F41,2)))))</f>
        <v/>
      </c>
      <c r="K41" s="80" t="e">
        <f t="shared" ref="K41" si="24">ABS(J41-J42)</f>
        <v>#VALUE!</v>
      </c>
      <c r="L41" s="103" t="str">
        <f>IF(OR(J41="",J42=""),"",IF(OR(J41="менее 2,0",J42="менее 2,0"),"менее 2,0",IF(OR(J41="более "&amp;$B$14&amp;",0",J42="более "&amp;$B$14&amp;",0"),"более "&amp;$B$14&amp;",0",ROUND(AVERAGE(J41:J42),1))))</f>
        <v/>
      </c>
      <c r="M41" s="104"/>
    </row>
    <row r="42" spans="1:13" x14ac:dyDescent="0.25">
      <c r="A42" s="109"/>
      <c r="B42" s="112"/>
      <c r="C42" s="113"/>
      <c r="D42" s="106">
        <v>26</v>
      </c>
      <c r="E42" s="107"/>
      <c r="F42" s="115"/>
      <c r="G42" s="52"/>
      <c r="H42" s="43" t="str">
        <f t="shared" si="2"/>
        <v/>
      </c>
      <c r="I42" s="117" t="str">
        <f t="shared" si="3"/>
        <v>0,0%</v>
      </c>
      <c r="J42" s="22" t="str">
        <f t="shared" ref="J42" si="25">IF(G42="","",IF($G$21/G42&lt;1,"менее 2,0",IF(10^((H42-INTERCEPT($I$11:$I$14,$H$11:$H$14))/SLOPE($I$11:$I$14,$H$11:$H$14))&gt;$B$14,"более "&amp;$B$14&amp;",0",IF(10^((H42-INTERCEPT($I$11:$I$14,$H$11:$H$14))/SLOPE($I$11:$I$14,$H$11:$H$14))&lt;2,"менее 2,0",ROUND(10^((H42-INTERCEPT($I$11:$I$14,$H$11:$H$14))/SLOPE($I$11:$I$14,$H$11:$H$14))*F41,2)))))</f>
        <v/>
      </c>
      <c r="K42" s="81">
        <f>IF(OR(D41=12,D41=13),"",VLOOKUP(D41,$P$4:$T$16,3,FALSE))</f>
        <v>34.799999999999997</v>
      </c>
      <c r="L42" s="103"/>
      <c r="M42" s="105"/>
    </row>
    <row r="43" spans="1:13" x14ac:dyDescent="0.25">
      <c r="A43" s="108">
        <v>9</v>
      </c>
      <c r="B43" s="110"/>
      <c r="C43" s="111"/>
      <c r="D43" s="106">
        <v>11</v>
      </c>
      <c r="E43" s="107"/>
      <c r="F43" s="114">
        <f>VLOOKUP(D43,$P$4:$T$16,5,FALSE)</f>
        <v>1</v>
      </c>
      <c r="G43" s="52"/>
      <c r="H43" s="43" t="str">
        <f t="shared" si="2"/>
        <v/>
      </c>
      <c r="I43" s="116" t="str">
        <f>IF(OR(G44="",G43=""),"",STDEV(G43:G44)/AVERAGE(G43:G44))</f>
        <v/>
      </c>
      <c r="J43" s="22" t="str">
        <f t="shared" ref="J43" si="26">IF(G43="","",IF($G$21/G43&lt;1,"менее 2,0",IF(10^((H43-INTERCEPT($I$11:$I$14,$H$11:$H$14))/SLOPE($I$11:$I$14,$H$11:$H$14))&gt;$B$14,"более "&amp;$B$14&amp;",0",IF(10^((H43-INTERCEPT($I$11:$I$14,$H$11:$H$14))/SLOPE($I$11:$I$14,$H$11:$H$14))&lt;2,"менее 2,0",ROUND(10^((H43-INTERCEPT($I$11:$I$14,$H$11:$H$14))/SLOPE($I$11:$I$14,$H$11:$H$14))*F43,2)))))</f>
        <v/>
      </c>
      <c r="K43" s="80" t="e">
        <f t="shared" ref="K43" si="27">ABS(J43-J44)</f>
        <v>#VALUE!</v>
      </c>
      <c r="L43" s="103" t="str">
        <f>IF(OR(J43="",J44=""),"",IF(OR(J43="менее 2,0",J44="менее 2,0"),"менее 2,0",IF(OR(J43="более "&amp;$B$14&amp;",0",J44="более "&amp;$B$14&amp;",0"),"более "&amp;$B$14&amp;",0",ROUND(AVERAGE(J43:J44),1))))</f>
        <v/>
      </c>
      <c r="M43" s="104"/>
    </row>
    <row r="44" spans="1:13" x14ac:dyDescent="0.25">
      <c r="A44" s="109"/>
      <c r="B44" s="112"/>
      <c r="C44" s="113"/>
      <c r="D44" s="106">
        <v>28</v>
      </c>
      <c r="E44" s="107"/>
      <c r="F44" s="115"/>
      <c r="G44" s="52"/>
      <c r="H44" s="43" t="str">
        <f t="shared" si="2"/>
        <v/>
      </c>
      <c r="I44" s="117" t="str">
        <f t="shared" si="3"/>
        <v>0,0%</v>
      </c>
      <c r="J44" s="22" t="str">
        <f t="shared" ref="J44" si="28">IF(G44="","",IF($G$21/G44&lt;1,"менее 2,0",IF(10^((H44-INTERCEPT($I$11:$I$14,$H$11:$H$14))/SLOPE($I$11:$I$14,$H$11:$H$14))&gt;$B$14,"более "&amp;$B$14&amp;",0",IF(10^((H44-INTERCEPT($I$11:$I$14,$H$11:$H$14))/SLOPE($I$11:$I$14,$H$11:$H$14))&lt;2,"менее 2,0",ROUND(10^((H44-INTERCEPT($I$11:$I$14,$H$11:$H$14))/SLOPE($I$11:$I$14,$H$11:$H$14))*F43,2)))))</f>
        <v/>
      </c>
      <c r="K44" s="81">
        <f>IF(OR(D43=12,D43=13),"",VLOOKUP(D43,$P$4:$T$16,3,FALSE))</f>
        <v>34.799999999999997</v>
      </c>
      <c r="L44" s="103"/>
      <c r="M44" s="105"/>
    </row>
    <row r="45" spans="1:13" x14ac:dyDescent="0.25">
      <c r="A45" s="108">
        <v>10</v>
      </c>
      <c r="B45" s="110"/>
      <c r="C45" s="111"/>
      <c r="D45" s="106">
        <v>11</v>
      </c>
      <c r="E45" s="107"/>
      <c r="F45" s="114">
        <f>VLOOKUP(D45,$P$4:$T$16,5,FALSE)</f>
        <v>1</v>
      </c>
      <c r="G45" s="52"/>
      <c r="H45" s="43" t="str">
        <f t="shared" si="2"/>
        <v/>
      </c>
      <c r="I45" s="116" t="str">
        <f>IF(OR(G46="",G45=""),"",STDEV(G45:G46)/AVERAGE(G45:G46))</f>
        <v/>
      </c>
      <c r="J45" s="22" t="str">
        <f t="shared" ref="J45" si="29">IF(G45="","",IF($G$21/G45&lt;1,"менее 2,0",IF(10^((H45-INTERCEPT($I$11:$I$14,$H$11:$H$14))/SLOPE($I$11:$I$14,$H$11:$H$14))&gt;$B$14,"более "&amp;$B$14&amp;",0",IF(10^((H45-INTERCEPT($I$11:$I$14,$H$11:$H$14))/SLOPE($I$11:$I$14,$H$11:$H$14))&lt;2,"менее 2,0",ROUND(10^((H45-INTERCEPT($I$11:$I$14,$H$11:$H$14))/SLOPE($I$11:$I$14,$H$11:$H$14))*F45,2)))))</f>
        <v/>
      </c>
      <c r="K45" s="80" t="e">
        <f t="shared" ref="K45" si="30">ABS(J45-J46)</f>
        <v>#VALUE!</v>
      </c>
      <c r="L45" s="103" t="str">
        <f>IF(OR(J45="",J46=""),"",IF(OR(J45="менее 2,0",J46="менее 2,0"),"менее 2,0",IF(OR(J45="более "&amp;$B$14&amp;",0",J46="более "&amp;$B$14&amp;",0"),"более "&amp;$B$14&amp;",0",ROUND(AVERAGE(J45:J46),1))))</f>
        <v/>
      </c>
      <c r="M45" s="104"/>
    </row>
    <row r="46" spans="1:13" x14ac:dyDescent="0.25">
      <c r="A46" s="109"/>
      <c r="B46" s="112"/>
      <c r="C46" s="113"/>
      <c r="D46" s="106">
        <v>30</v>
      </c>
      <c r="E46" s="107"/>
      <c r="F46" s="115"/>
      <c r="G46" s="52"/>
      <c r="H46" s="43" t="str">
        <f t="shared" si="2"/>
        <v/>
      </c>
      <c r="I46" s="117" t="str">
        <f t="shared" si="3"/>
        <v>0,0%</v>
      </c>
      <c r="J46" s="22" t="str">
        <f t="shared" ref="J46" si="31">IF(G46="","",IF($G$21/G46&lt;1,"менее 2,0",IF(10^((H46-INTERCEPT($I$11:$I$14,$H$11:$H$14))/SLOPE($I$11:$I$14,$H$11:$H$14))&gt;$B$14,"более "&amp;$B$14&amp;",0",IF(10^((H46-INTERCEPT($I$11:$I$14,$H$11:$H$14))/SLOPE($I$11:$I$14,$H$11:$H$14))&lt;2,"менее 2,0",ROUND(10^((H46-INTERCEPT($I$11:$I$14,$H$11:$H$14))/SLOPE($I$11:$I$14,$H$11:$H$14))*F45,2)))))</f>
        <v/>
      </c>
      <c r="K46" s="81">
        <f>IF(OR(D45=12,D45=13),"",VLOOKUP(D45,$P$4:$T$16,3,FALSE))</f>
        <v>34.799999999999997</v>
      </c>
      <c r="L46" s="103"/>
      <c r="M46" s="105"/>
    </row>
    <row r="47" spans="1:13" x14ac:dyDescent="0.25">
      <c r="A47" s="108">
        <v>11</v>
      </c>
      <c r="B47" s="110"/>
      <c r="C47" s="111"/>
      <c r="D47" s="106">
        <v>11</v>
      </c>
      <c r="E47" s="107"/>
      <c r="F47" s="114">
        <f>VLOOKUP(D47,$P$4:$T$16,5,FALSE)</f>
        <v>1</v>
      </c>
      <c r="G47" s="52"/>
      <c r="H47" s="43" t="str">
        <f t="shared" si="2"/>
        <v/>
      </c>
      <c r="I47" s="116" t="str">
        <f>IF(OR(G48="",G47=""),"",STDEV(G47:G48)/AVERAGE(G47:G48))</f>
        <v/>
      </c>
      <c r="J47" s="22" t="str">
        <f t="shared" ref="J47" si="32">IF(G47="","",IF($G$21/G47&lt;1,"менее 2,0",IF(10^((H47-INTERCEPT($I$11:$I$14,$H$11:$H$14))/SLOPE($I$11:$I$14,$H$11:$H$14))&gt;$B$14,"более "&amp;$B$14&amp;",0",IF(10^((H47-INTERCEPT($I$11:$I$14,$H$11:$H$14))/SLOPE($I$11:$I$14,$H$11:$H$14))&lt;2,"менее 2,0",ROUND(10^((H47-INTERCEPT($I$11:$I$14,$H$11:$H$14))/SLOPE($I$11:$I$14,$H$11:$H$14))*F47,2)))))</f>
        <v/>
      </c>
      <c r="K47" s="80" t="e">
        <f t="shared" ref="K47" si="33">ABS(J47-J48)</f>
        <v>#VALUE!</v>
      </c>
      <c r="L47" s="103" t="str">
        <f>IF(OR(J47="",J48=""),"",IF(OR(J47="менее 2,0",J48="менее 2,0"),"менее 2,0",IF(OR(J47="более "&amp;$B$14&amp;",0",J48="более "&amp;$B$14&amp;",0"),"более "&amp;$B$14&amp;",0",ROUND(AVERAGE(J47:J48),1))))</f>
        <v/>
      </c>
      <c r="M47" s="104"/>
    </row>
    <row r="48" spans="1:13" x14ac:dyDescent="0.25">
      <c r="A48" s="109"/>
      <c r="B48" s="112"/>
      <c r="C48" s="113"/>
      <c r="D48" s="106">
        <v>32</v>
      </c>
      <c r="E48" s="107"/>
      <c r="F48" s="115"/>
      <c r="G48" s="52"/>
      <c r="H48" s="43" t="str">
        <f t="shared" si="2"/>
        <v/>
      </c>
      <c r="I48" s="117" t="str">
        <f t="shared" si="3"/>
        <v>0,0%</v>
      </c>
      <c r="J48" s="22" t="str">
        <f t="shared" ref="J48" si="34">IF(G48="","",IF($G$21/G48&lt;1,"менее 2,0",IF(10^((H48-INTERCEPT($I$11:$I$14,$H$11:$H$14))/SLOPE($I$11:$I$14,$H$11:$H$14))&gt;$B$14,"более "&amp;$B$14&amp;",0",IF(10^((H48-INTERCEPT($I$11:$I$14,$H$11:$H$14))/SLOPE($I$11:$I$14,$H$11:$H$14))&lt;2,"менее 2,0",ROUND(10^((H48-INTERCEPT($I$11:$I$14,$H$11:$H$14))/SLOPE($I$11:$I$14,$H$11:$H$14))*F47,2)))))</f>
        <v/>
      </c>
      <c r="K48" s="81">
        <f>IF(OR(D47=12,D47=13),"",VLOOKUP(D47,$P$4:$T$16,3,FALSE))</f>
        <v>34.799999999999997</v>
      </c>
      <c r="L48" s="103"/>
      <c r="M48" s="105"/>
    </row>
    <row r="49" spans="1:13" x14ac:dyDescent="0.25">
      <c r="A49" s="108">
        <v>12</v>
      </c>
      <c r="B49" s="110"/>
      <c r="C49" s="111"/>
      <c r="D49" s="106">
        <v>11</v>
      </c>
      <c r="E49" s="107"/>
      <c r="F49" s="114">
        <f>VLOOKUP(D49,$P$4:$T$16,5,FALSE)</f>
        <v>1</v>
      </c>
      <c r="G49" s="52"/>
      <c r="H49" s="43" t="str">
        <f t="shared" si="2"/>
        <v/>
      </c>
      <c r="I49" s="116" t="str">
        <f>IF(OR(G50="",G49=""),"",STDEV(G49:G50)/AVERAGE(G49:G50))</f>
        <v/>
      </c>
      <c r="J49" s="22" t="str">
        <f t="shared" ref="J49" si="35">IF(G49="","",IF($G$21/G49&lt;1,"менее 2,0",IF(10^((H49-INTERCEPT($I$11:$I$14,$H$11:$H$14))/SLOPE($I$11:$I$14,$H$11:$H$14))&gt;$B$14,"более "&amp;$B$14&amp;",0",IF(10^((H49-INTERCEPT($I$11:$I$14,$H$11:$H$14))/SLOPE($I$11:$I$14,$H$11:$H$14))&lt;2,"менее 2,0",ROUND(10^((H49-INTERCEPT($I$11:$I$14,$H$11:$H$14))/SLOPE($I$11:$I$14,$H$11:$H$14))*F49,2)))))</f>
        <v/>
      </c>
      <c r="K49" s="80" t="e">
        <f t="shared" ref="K49" si="36">ABS(J49-J50)</f>
        <v>#VALUE!</v>
      </c>
      <c r="L49" s="103" t="str">
        <f>IF(OR(J49="",J50=""),"",IF(OR(J49="менее 2,0",J50="менее 2,0"),"менее 2,0",IF(OR(J49="более "&amp;$B$14&amp;",0",J50="более "&amp;$B$14&amp;",0"),"более "&amp;$B$14&amp;",0",ROUND(AVERAGE(J49:J50),1))))</f>
        <v/>
      </c>
      <c r="M49" s="104"/>
    </row>
    <row r="50" spans="1:13" x14ac:dyDescent="0.25">
      <c r="A50" s="109"/>
      <c r="B50" s="112"/>
      <c r="C50" s="113"/>
      <c r="D50" s="106">
        <v>34</v>
      </c>
      <c r="E50" s="107"/>
      <c r="F50" s="115"/>
      <c r="G50" s="52"/>
      <c r="H50" s="43" t="str">
        <f t="shared" si="2"/>
        <v/>
      </c>
      <c r="I50" s="117" t="str">
        <f t="shared" si="3"/>
        <v>0,0%</v>
      </c>
      <c r="J50" s="22" t="str">
        <f t="shared" ref="J50" si="37">IF(G50="","",IF($G$21/G50&lt;1,"менее 2,0",IF(10^((H50-INTERCEPT($I$11:$I$14,$H$11:$H$14))/SLOPE($I$11:$I$14,$H$11:$H$14))&gt;$B$14,"более "&amp;$B$14&amp;",0",IF(10^((H50-INTERCEPT($I$11:$I$14,$H$11:$H$14))/SLOPE($I$11:$I$14,$H$11:$H$14))&lt;2,"менее 2,0",ROUND(10^((H50-INTERCEPT($I$11:$I$14,$H$11:$H$14))/SLOPE($I$11:$I$14,$H$11:$H$14))*F49,2)))))</f>
        <v/>
      </c>
      <c r="K50" s="81">
        <f>IF(OR(D49=12,D49=13),"",VLOOKUP(D49,$P$4:$T$16,3,FALSE))</f>
        <v>34.799999999999997</v>
      </c>
      <c r="L50" s="103"/>
      <c r="M50" s="105"/>
    </row>
    <row r="51" spans="1:13" x14ac:dyDescent="0.25">
      <c r="A51" s="108">
        <v>13</v>
      </c>
      <c r="B51" s="110"/>
      <c r="C51" s="111"/>
      <c r="D51" s="106">
        <v>11</v>
      </c>
      <c r="E51" s="107"/>
      <c r="F51" s="114">
        <f>VLOOKUP(D51,$P$4:$T$16,5,FALSE)</f>
        <v>1</v>
      </c>
      <c r="G51" s="52"/>
      <c r="H51" s="43" t="str">
        <f t="shared" si="2"/>
        <v/>
      </c>
      <c r="I51" s="116" t="str">
        <f>IF(OR(G52="",G51=""),"",STDEV(G51:G52)/AVERAGE(G51:G52))</f>
        <v/>
      </c>
      <c r="J51" s="22" t="str">
        <f t="shared" ref="J51" si="38">IF(G51="","",IF($G$21/G51&lt;1,"менее 2,0",IF(10^((H51-INTERCEPT($I$11:$I$14,$H$11:$H$14))/SLOPE($I$11:$I$14,$H$11:$H$14))&gt;$B$14,"более "&amp;$B$14&amp;",0",IF(10^((H51-INTERCEPT($I$11:$I$14,$H$11:$H$14))/SLOPE($I$11:$I$14,$H$11:$H$14))&lt;2,"менее 2,0",ROUND(10^((H51-INTERCEPT($I$11:$I$14,$H$11:$H$14))/SLOPE($I$11:$I$14,$H$11:$H$14))*F51,2)))))</f>
        <v/>
      </c>
      <c r="K51" s="80" t="e">
        <f t="shared" ref="K51" si="39">ABS(J51-J52)</f>
        <v>#VALUE!</v>
      </c>
      <c r="L51" s="103" t="str">
        <f>IF(OR(J51="",J52=""),"",IF(OR(J51="менее 2,0",J52="менее 2,0"),"менее 2,0",IF(OR(J51="более "&amp;$B$14&amp;",0",J52="более "&amp;$B$14&amp;",0"),"более "&amp;$B$14&amp;",0",ROUND(AVERAGE(J51:J52),1))))</f>
        <v/>
      </c>
      <c r="M51" s="104"/>
    </row>
    <row r="52" spans="1:13" x14ac:dyDescent="0.25">
      <c r="A52" s="109"/>
      <c r="B52" s="112"/>
      <c r="C52" s="113"/>
      <c r="D52" s="106">
        <v>36</v>
      </c>
      <c r="E52" s="107"/>
      <c r="F52" s="115"/>
      <c r="G52" s="52"/>
      <c r="H52" s="43" t="str">
        <f t="shared" si="2"/>
        <v/>
      </c>
      <c r="I52" s="117" t="str">
        <f t="shared" si="3"/>
        <v>0,0%</v>
      </c>
      <c r="J52" s="22" t="str">
        <f t="shared" ref="J52" si="40">IF(G52="","",IF($G$21/G52&lt;1,"менее 2,0",IF(10^((H52-INTERCEPT($I$11:$I$14,$H$11:$H$14))/SLOPE($I$11:$I$14,$H$11:$H$14))&gt;$B$14,"более "&amp;$B$14&amp;",0",IF(10^((H52-INTERCEPT($I$11:$I$14,$H$11:$H$14))/SLOPE($I$11:$I$14,$H$11:$H$14))&lt;2,"менее 2,0",ROUND(10^((H52-INTERCEPT($I$11:$I$14,$H$11:$H$14))/SLOPE($I$11:$I$14,$H$11:$H$14))*F51,2)))))</f>
        <v/>
      </c>
      <c r="K52" s="81">
        <f>IF(OR(D51=12,D51=13),"",VLOOKUP(D51,$P$4:$T$16,3,FALSE))</f>
        <v>34.799999999999997</v>
      </c>
      <c r="L52" s="103"/>
      <c r="M52" s="105"/>
    </row>
    <row r="53" spans="1:13" x14ac:dyDescent="0.25">
      <c r="A53" s="108">
        <v>14</v>
      </c>
      <c r="B53" s="110"/>
      <c r="C53" s="111"/>
      <c r="D53" s="106">
        <v>11</v>
      </c>
      <c r="E53" s="107"/>
      <c r="F53" s="114">
        <f>VLOOKUP(D53,$P$4:$T$16,5,FALSE)</f>
        <v>1</v>
      </c>
      <c r="G53" s="52"/>
      <c r="H53" s="43" t="str">
        <f t="shared" si="2"/>
        <v/>
      </c>
      <c r="I53" s="116" t="str">
        <f>IF(OR(G54="",G53=""),"",STDEV(G53:G54)/AVERAGE(G53:G54))</f>
        <v/>
      </c>
      <c r="J53" s="22" t="str">
        <f t="shared" ref="J53" si="41">IF(G53="","",IF($G$21/G53&lt;1,"менее 2,0",IF(10^((H53-INTERCEPT($I$11:$I$14,$H$11:$H$14))/SLOPE($I$11:$I$14,$H$11:$H$14))&gt;$B$14,"более "&amp;$B$14&amp;",0",IF(10^((H53-INTERCEPT($I$11:$I$14,$H$11:$H$14))/SLOPE($I$11:$I$14,$H$11:$H$14))&lt;2,"менее 2,0",ROUND(10^((H53-INTERCEPT($I$11:$I$14,$H$11:$H$14))/SLOPE($I$11:$I$14,$H$11:$H$14))*F53,2)))))</f>
        <v/>
      </c>
      <c r="K53" s="80" t="e">
        <f t="shared" ref="K53" si="42">ABS(J53-J54)</f>
        <v>#VALUE!</v>
      </c>
      <c r="L53" s="103" t="str">
        <f>IF(OR(J53="",J54=""),"",IF(OR(J53="менее 2,0",J54="менее 2,0"),"менее 2,0",IF(OR(J53="более "&amp;$B$14&amp;",0",J54="более "&amp;$B$14&amp;",0"),"более "&amp;$B$14&amp;",0",ROUND(AVERAGE(J53:J54),1))))</f>
        <v/>
      </c>
      <c r="M53" s="104"/>
    </row>
    <row r="54" spans="1:13" x14ac:dyDescent="0.25">
      <c r="A54" s="109"/>
      <c r="B54" s="112"/>
      <c r="C54" s="113"/>
      <c r="D54" s="106">
        <v>38</v>
      </c>
      <c r="E54" s="107"/>
      <c r="F54" s="115"/>
      <c r="G54" s="52"/>
      <c r="H54" s="43" t="str">
        <f t="shared" si="2"/>
        <v/>
      </c>
      <c r="I54" s="117" t="str">
        <f t="shared" si="3"/>
        <v>0,0%</v>
      </c>
      <c r="J54" s="22" t="str">
        <f t="shared" ref="J54" si="43">IF(G54="","",IF($G$21/G54&lt;1,"менее 2,0",IF(10^((H54-INTERCEPT($I$11:$I$14,$H$11:$H$14))/SLOPE($I$11:$I$14,$H$11:$H$14))&gt;$B$14,"более "&amp;$B$14&amp;",0",IF(10^((H54-INTERCEPT($I$11:$I$14,$H$11:$H$14))/SLOPE($I$11:$I$14,$H$11:$H$14))&lt;2,"менее 2,0",ROUND(10^((H54-INTERCEPT($I$11:$I$14,$H$11:$H$14))/SLOPE($I$11:$I$14,$H$11:$H$14))*F53,2)))))</f>
        <v/>
      </c>
      <c r="K54" s="81">
        <f>IF(OR(D53=12,D53=13),"",VLOOKUP(D53,$P$4:$T$16,3,FALSE))</f>
        <v>34.799999999999997</v>
      </c>
      <c r="L54" s="103"/>
      <c r="M54" s="105"/>
    </row>
    <row r="55" spans="1:13" x14ac:dyDescent="0.25">
      <c r="A55" s="108">
        <v>15</v>
      </c>
      <c r="B55" s="110"/>
      <c r="C55" s="111"/>
      <c r="D55" s="106">
        <v>11</v>
      </c>
      <c r="E55" s="107"/>
      <c r="F55" s="114">
        <f>VLOOKUP(D55,$P$4:$T$16,5,FALSE)</f>
        <v>1</v>
      </c>
      <c r="G55" s="52"/>
      <c r="H55" s="43" t="str">
        <f t="shared" si="2"/>
        <v/>
      </c>
      <c r="I55" s="116" t="str">
        <f>IF(OR(G56="",G55=""),"",STDEV(G55:G56)/AVERAGE(G55:G56))</f>
        <v/>
      </c>
      <c r="J55" s="22" t="str">
        <f t="shared" ref="J55" si="44">IF(G55="","",IF($G$21/G55&lt;1,"менее 2,0",IF(10^((H55-INTERCEPT($I$11:$I$14,$H$11:$H$14))/SLOPE($I$11:$I$14,$H$11:$H$14))&gt;$B$14,"более "&amp;$B$14&amp;",0",IF(10^((H55-INTERCEPT($I$11:$I$14,$H$11:$H$14))/SLOPE($I$11:$I$14,$H$11:$H$14))&lt;2,"менее 2,0",ROUND(10^((H55-INTERCEPT($I$11:$I$14,$H$11:$H$14))/SLOPE($I$11:$I$14,$H$11:$H$14))*F55,2)))))</f>
        <v/>
      </c>
      <c r="K55" s="80" t="e">
        <f t="shared" ref="K55" si="45">ABS(J55-J56)</f>
        <v>#VALUE!</v>
      </c>
      <c r="L55" s="103" t="str">
        <f>IF(OR(J55="",J56=""),"",IF(OR(J55="менее 2,0",J56="менее 2,0"),"менее 2,0",IF(OR(J55="более "&amp;$B$14&amp;",0",J56="более "&amp;$B$14&amp;",0"),"более "&amp;$B$14&amp;",0",ROUND(AVERAGE(J55:J56),1))))</f>
        <v/>
      </c>
      <c r="M55" s="104"/>
    </row>
    <row r="56" spans="1:13" x14ac:dyDescent="0.25">
      <c r="A56" s="109"/>
      <c r="B56" s="112"/>
      <c r="C56" s="113"/>
      <c r="D56" s="106">
        <v>40</v>
      </c>
      <c r="E56" s="107"/>
      <c r="F56" s="115"/>
      <c r="G56" s="52"/>
      <c r="H56" s="43" t="str">
        <f t="shared" si="2"/>
        <v/>
      </c>
      <c r="I56" s="117" t="str">
        <f t="shared" si="3"/>
        <v>0,0%</v>
      </c>
      <c r="J56" s="22" t="str">
        <f t="shared" ref="J56" si="46">IF(G56="","",IF($G$21/G56&lt;1,"менее 2,0",IF(10^((H56-INTERCEPT($I$11:$I$14,$H$11:$H$14))/SLOPE($I$11:$I$14,$H$11:$H$14))&gt;$B$14,"более "&amp;$B$14&amp;",0",IF(10^((H56-INTERCEPT($I$11:$I$14,$H$11:$H$14))/SLOPE($I$11:$I$14,$H$11:$H$14))&lt;2,"менее 2,0",ROUND(10^((H56-INTERCEPT($I$11:$I$14,$H$11:$H$14))/SLOPE($I$11:$I$14,$H$11:$H$14))*F55,2)))))</f>
        <v/>
      </c>
      <c r="K56" s="81">
        <f>IF(OR(D55=12,D55=13),"",VLOOKUP(D55,$P$4:$T$16,3,FALSE))</f>
        <v>34.799999999999997</v>
      </c>
      <c r="L56" s="103"/>
      <c r="M56" s="105"/>
    </row>
    <row r="57" spans="1:13" x14ac:dyDescent="0.25">
      <c r="A57" s="108">
        <v>16</v>
      </c>
      <c r="B57" s="110"/>
      <c r="C57" s="111"/>
      <c r="D57" s="106">
        <v>11</v>
      </c>
      <c r="E57" s="107"/>
      <c r="F57" s="114">
        <f>VLOOKUP(D57,$P$4:$T$16,5,FALSE)</f>
        <v>1</v>
      </c>
      <c r="G57" s="52"/>
      <c r="H57" s="43" t="str">
        <f t="shared" si="2"/>
        <v/>
      </c>
      <c r="I57" s="116" t="str">
        <f>IF(OR(G58="",G57=""),"",STDEV(G57:G58)/AVERAGE(G57:G58))</f>
        <v/>
      </c>
      <c r="J57" s="22" t="str">
        <f t="shared" ref="J57" si="47">IF(G57="","",IF($G$21/G57&lt;1,"менее 2,0",IF(10^((H57-INTERCEPT($I$11:$I$14,$H$11:$H$14))/SLOPE($I$11:$I$14,$H$11:$H$14))&gt;$B$14,"более "&amp;$B$14&amp;",0",IF(10^((H57-INTERCEPT($I$11:$I$14,$H$11:$H$14))/SLOPE($I$11:$I$14,$H$11:$H$14))&lt;2,"менее 2,0",ROUND(10^((H57-INTERCEPT($I$11:$I$14,$H$11:$H$14))/SLOPE($I$11:$I$14,$H$11:$H$14))*F57,2)))))</f>
        <v/>
      </c>
      <c r="K57" s="80" t="e">
        <f t="shared" ref="K57" si="48">ABS(J57-J58)</f>
        <v>#VALUE!</v>
      </c>
      <c r="L57" s="103" t="str">
        <f>IF(OR(J57="",J58=""),"",IF(OR(J57="менее 2,0",J58="менее 2,0"),"менее 2,0",IF(OR(J57="более "&amp;$B$14&amp;",0",J58="более "&amp;$B$14&amp;",0"),"более "&amp;$B$14&amp;",0",ROUND(AVERAGE(J57:J58),1))))</f>
        <v/>
      </c>
      <c r="M57" s="104"/>
    </row>
    <row r="58" spans="1:13" x14ac:dyDescent="0.25">
      <c r="A58" s="109"/>
      <c r="B58" s="112"/>
      <c r="C58" s="113"/>
      <c r="D58" s="106">
        <v>42</v>
      </c>
      <c r="E58" s="107"/>
      <c r="F58" s="115"/>
      <c r="G58" s="52"/>
      <c r="H58" s="43" t="str">
        <f t="shared" si="2"/>
        <v/>
      </c>
      <c r="I58" s="117" t="str">
        <f t="shared" si="3"/>
        <v>0,0%</v>
      </c>
      <c r="J58" s="22" t="str">
        <f t="shared" ref="J58" si="49">IF(G58="","",IF($G$21/G58&lt;1,"менее 2,0",IF(10^((H58-INTERCEPT($I$11:$I$14,$H$11:$H$14))/SLOPE($I$11:$I$14,$H$11:$H$14))&gt;$B$14,"более "&amp;$B$14&amp;",0",IF(10^((H58-INTERCEPT($I$11:$I$14,$H$11:$H$14))/SLOPE($I$11:$I$14,$H$11:$H$14))&lt;2,"менее 2,0",ROUND(10^((H58-INTERCEPT($I$11:$I$14,$H$11:$H$14))/SLOPE($I$11:$I$14,$H$11:$H$14))*F57,2)))))</f>
        <v/>
      </c>
      <c r="K58" s="81">
        <f>IF(OR(D57=12,D57=13),"",VLOOKUP(D57,$P$4:$T$16,3,FALSE))</f>
        <v>34.799999999999997</v>
      </c>
      <c r="L58" s="103"/>
      <c r="M58" s="105"/>
    </row>
    <row r="59" spans="1:13" x14ac:dyDescent="0.25">
      <c r="A59" s="108">
        <v>17</v>
      </c>
      <c r="B59" s="110"/>
      <c r="C59" s="111"/>
      <c r="D59" s="106">
        <v>11</v>
      </c>
      <c r="E59" s="107"/>
      <c r="F59" s="114">
        <f>VLOOKUP(D59,$P$4:$T$16,5,FALSE)</f>
        <v>1</v>
      </c>
      <c r="G59" s="52"/>
      <c r="H59" s="43" t="str">
        <f t="shared" si="2"/>
        <v/>
      </c>
      <c r="I59" s="116" t="str">
        <f>IF(OR(G60="",G59=""),"",STDEV(G59:G60)/AVERAGE(G59:G60))</f>
        <v/>
      </c>
      <c r="J59" s="22" t="str">
        <f t="shared" ref="J59" si="50">IF(G59="","",IF($G$21/G59&lt;1,"менее 2,0",IF(10^((H59-INTERCEPT($I$11:$I$14,$H$11:$H$14))/SLOPE($I$11:$I$14,$H$11:$H$14))&gt;$B$14,"более "&amp;$B$14&amp;",0",IF(10^((H59-INTERCEPT($I$11:$I$14,$H$11:$H$14))/SLOPE($I$11:$I$14,$H$11:$H$14))&lt;2,"менее 2,0",ROUND(10^((H59-INTERCEPT($I$11:$I$14,$H$11:$H$14))/SLOPE($I$11:$I$14,$H$11:$H$14))*F59,2)))))</f>
        <v/>
      </c>
      <c r="K59" s="80" t="e">
        <f t="shared" ref="K59" si="51">ABS(J59-J60)</f>
        <v>#VALUE!</v>
      </c>
      <c r="L59" s="103" t="str">
        <f>IF(OR(J59="",J60=""),"",IF(OR(J59="менее 2,0",J60="менее 2,0"),"менее 2,0",IF(OR(J59="более "&amp;$B$14&amp;",0",J60="более "&amp;$B$14&amp;",0"),"более "&amp;$B$14&amp;",0",ROUND(AVERAGE(J59:J60),1))))</f>
        <v/>
      </c>
      <c r="M59" s="104"/>
    </row>
    <row r="60" spans="1:13" x14ac:dyDescent="0.25">
      <c r="A60" s="109"/>
      <c r="B60" s="112"/>
      <c r="C60" s="113"/>
      <c r="D60" s="106">
        <v>44</v>
      </c>
      <c r="E60" s="107"/>
      <c r="F60" s="115"/>
      <c r="G60" s="52"/>
      <c r="H60" s="43" t="str">
        <f t="shared" si="2"/>
        <v/>
      </c>
      <c r="I60" s="117" t="str">
        <f t="shared" si="3"/>
        <v>0,0%</v>
      </c>
      <c r="J60" s="22" t="str">
        <f t="shared" ref="J60" si="52">IF(G60="","",IF($G$21/G60&lt;1,"менее 2,0",IF(10^((H60-INTERCEPT($I$11:$I$14,$H$11:$H$14))/SLOPE($I$11:$I$14,$H$11:$H$14))&gt;$B$14,"более "&amp;$B$14&amp;",0",IF(10^((H60-INTERCEPT($I$11:$I$14,$H$11:$H$14))/SLOPE($I$11:$I$14,$H$11:$H$14))&lt;2,"менее 2,0",ROUND(10^((H60-INTERCEPT($I$11:$I$14,$H$11:$H$14))/SLOPE($I$11:$I$14,$H$11:$H$14))*F59,2)))))</f>
        <v/>
      </c>
      <c r="K60" s="81">
        <f>IF(OR(D59=12,D59=13),"",VLOOKUP(D59,$P$4:$T$16,3,FALSE))</f>
        <v>34.799999999999997</v>
      </c>
      <c r="L60" s="103"/>
      <c r="M60" s="105"/>
    </row>
    <row r="61" spans="1:13" x14ac:dyDescent="0.25">
      <c r="A61" s="108">
        <v>18</v>
      </c>
      <c r="B61" s="110"/>
      <c r="C61" s="111"/>
      <c r="D61" s="106">
        <v>11</v>
      </c>
      <c r="E61" s="107"/>
      <c r="F61" s="114">
        <f>VLOOKUP(D61,$P$4:$T$16,5,FALSE)</f>
        <v>1</v>
      </c>
      <c r="G61" s="52"/>
      <c r="H61" s="43" t="str">
        <f t="shared" si="2"/>
        <v/>
      </c>
      <c r="I61" s="116" t="str">
        <f>IF(OR(G62="",G61=""),"",STDEV(G61:G62)/AVERAGE(G61:G62))</f>
        <v/>
      </c>
      <c r="J61" s="22" t="str">
        <f t="shared" ref="J61" si="53">IF(G61="","",IF($G$21/G61&lt;1,"менее 2,0",IF(10^((H61-INTERCEPT($I$11:$I$14,$H$11:$H$14))/SLOPE($I$11:$I$14,$H$11:$H$14))&gt;$B$14,"более "&amp;$B$14&amp;",0",IF(10^((H61-INTERCEPT($I$11:$I$14,$H$11:$H$14))/SLOPE($I$11:$I$14,$H$11:$H$14))&lt;2,"менее 2,0",ROUND(10^((H61-INTERCEPT($I$11:$I$14,$H$11:$H$14))/SLOPE($I$11:$I$14,$H$11:$H$14))*F61,2)))))</f>
        <v/>
      </c>
      <c r="K61" s="80" t="e">
        <f t="shared" ref="K61" si="54">ABS(J61-J62)</f>
        <v>#VALUE!</v>
      </c>
      <c r="L61" s="103" t="str">
        <f>IF(OR(J61="",J62=""),"",IF(OR(J61="менее 2,0",J62="менее 2,0"),"менее 2,0",IF(OR(J61="более "&amp;$B$14&amp;",0",J62="более "&amp;$B$14&amp;",0"),"более "&amp;$B$14&amp;",0",ROUND(AVERAGE(J61:J62),1))))</f>
        <v/>
      </c>
      <c r="M61" s="104"/>
    </row>
    <row r="62" spans="1:13" x14ac:dyDescent="0.25">
      <c r="A62" s="109"/>
      <c r="B62" s="112"/>
      <c r="C62" s="113"/>
      <c r="D62" s="106">
        <v>46</v>
      </c>
      <c r="E62" s="107"/>
      <c r="F62" s="115"/>
      <c r="G62" s="52"/>
      <c r="H62" s="43" t="str">
        <f t="shared" si="2"/>
        <v/>
      </c>
      <c r="I62" s="117" t="str">
        <f t="shared" si="3"/>
        <v>0,0%</v>
      </c>
      <c r="J62" s="22" t="str">
        <f t="shared" ref="J62" si="55">IF(G62="","",IF($G$21/G62&lt;1,"менее 2,0",IF(10^((H62-INTERCEPT($I$11:$I$14,$H$11:$H$14))/SLOPE($I$11:$I$14,$H$11:$H$14))&gt;$B$14,"более "&amp;$B$14&amp;",0",IF(10^((H62-INTERCEPT($I$11:$I$14,$H$11:$H$14))/SLOPE($I$11:$I$14,$H$11:$H$14))&lt;2,"менее 2,0",ROUND(10^((H62-INTERCEPT($I$11:$I$14,$H$11:$H$14))/SLOPE($I$11:$I$14,$H$11:$H$14))*F61,2)))))</f>
        <v/>
      </c>
      <c r="K62" s="81">
        <f>IF(OR(D61=12,D61=13),"",VLOOKUP(D61,$P$4:$T$16,3,FALSE))</f>
        <v>34.799999999999997</v>
      </c>
      <c r="L62" s="103"/>
      <c r="M62" s="105"/>
    </row>
    <row r="63" spans="1:13" x14ac:dyDescent="0.25">
      <c r="A63" s="108">
        <v>19</v>
      </c>
      <c r="B63" s="110"/>
      <c r="C63" s="111"/>
      <c r="D63" s="106">
        <v>2</v>
      </c>
      <c r="E63" s="107"/>
      <c r="F63" s="114">
        <f>VLOOKUP(D63,$P$4:$T$16,5,FALSE)</f>
        <v>1</v>
      </c>
      <c r="G63" s="52"/>
      <c r="H63" s="43" t="str">
        <f t="shared" si="2"/>
        <v/>
      </c>
      <c r="I63" s="116" t="str">
        <f>IF(OR(G64="",G63=""),"",STDEV(G63:G64)/AVERAGE(G63:G64))</f>
        <v/>
      </c>
      <c r="J63" s="22" t="str">
        <f t="shared" ref="J63" si="56">IF(G63="","",IF($G$21/G63&lt;1,"менее 2,0",IF(10^((H63-INTERCEPT($I$11:$I$14,$H$11:$H$14))/SLOPE($I$11:$I$14,$H$11:$H$14))&gt;$B$14,"более "&amp;$B$14&amp;",0",IF(10^((H63-INTERCEPT($I$11:$I$14,$H$11:$H$14))/SLOPE($I$11:$I$14,$H$11:$H$14))&lt;2,"менее 2,0",ROUND(10^((H63-INTERCEPT($I$11:$I$14,$H$11:$H$14))/SLOPE($I$11:$I$14,$H$11:$H$14))*F63,2)))))</f>
        <v/>
      </c>
      <c r="K63" s="80" t="e">
        <f t="shared" ref="K63" si="57">ABS(J63-J64)</f>
        <v>#VALUE!</v>
      </c>
      <c r="L63" s="103" t="str">
        <f>IF(OR(J63="",J64=""),"",IF(OR(J63="менее 2,0",J64="менее 2,0"),"менее 2,0",IF(OR(J63="более "&amp;$B$14&amp;",0",J64="более "&amp;$B$14&amp;",0"),"более "&amp;$B$14&amp;",0",ROUND(AVERAGE(J63:J64),1))))</f>
        <v/>
      </c>
      <c r="M63" s="104"/>
    </row>
    <row r="64" spans="1:13" x14ac:dyDescent="0.25">
      <c r="A64" s="109"/>
      <c r="B64" s="112"/>
      <c r="C64" s="113"/>
      <c r="D64" s="106">
        <v>48</v>
      </c>
      <c r="E64" s="107"/>
      <c r="F64" s="115"/>
      <c r="G64" s="52"/>
      <c r="H64" s="43" t="str">
        <f t="shared" si="2"/>
        <v/>
      </c>
      <c r="I64" s="117" t="str">
        <f t="shared" si="3"/>
        <v>0,0%</v>
      </c>
      <c r="J64" s="22" t="str">
        <f t="shared" ref="J64" si="58">IF(G64="","",IF($G$21/G64&lt;1,"менее 2,0",IF(10^((H64-INTERCEPT($I$11:$I$14,$H$11:$H$14))/SLOPE($I$11:$I$14,$H$11:$H$14))&gt;$B$14,"более "&amp;$B$14&amp;",0",IF(10^((H64-INTERCEPT($I$11:$I$14,$H$11:$H$14))/SLOPE($I$11:$I$14,$H$11:$H$14))&lt;2,"менее 2,0",ROUND(10^((H64-INTERCEPT($I$11:$I$14,$H$11:$H$14))/SLOPE($I$11:$I$14,$H$11:$H$14))*F63,2)))))</f>
        <v/>
      </c>
      <c r="K64" s="81">
        <f>IF(OR(D63=12,D63=13),"",VLOOKUP(D63,$P$4:$T$16,3,FALSE))</f>
        <v>26.9</v>
      </c>
      <c r="L64" s="103"/>
      <c r="M64" s="105"/>
    </row>
    <row r="65" spans="1:13" x14ac:dyDescent="0.25">
      <c r="A65" s="108">
        <v>20</v>
      </c>
      <c r="B65" s="110"/>
      <c r="C65" s="111"/>
      <c r="D65" s="106">
        <v>5</v>
      </c>
      <c r="E65" s="107"/>
      <c r="F65" s="114">
        <f>VLOOKUP(D65,$P$4:$T$16,5,FALSE)</f>
        <v>1</v>
      </c>
      <c r="G65" s="52">
        <v>1.165</v>
      </c>
      <c r="H65" s="43">
        <f t="shared" si="2"/>
        <v>0.25508615260874834</v>
      </c>
      <c r="I65" s="116">
        <f>IF(OR(G66="",G65=""),"",STDEV(G65:G66)/AVERAGE(G65:G66))</f>
        <v>0</v>
      </c>
      <c r="J65" s="22">
        <f t="shared" ref="J65" si="59">IF(G65="","",IF($G$21/G65&lt;1,"менее 2,0",IF(10^((H65-INTERCEPT($I$11:$I$14,$H$11:$H$14))/SLOPE($I$11:$I$14,$H$11:$H$14))&gt;$B$14,"более "&amp;$B$14&amp;",0",IF(10^((H65-INTERCEPT($I$11:$I$14,$H$11:$H$14))/SLOPE($I$11:$I$14,$H$11:$H$14))&lt;2,"менее 2,0",ROUND(10^((H65-INTERCEPT($I$11:$I$14,$H$11:$H$14))/SLOPE($I$11:$I$14,$H$11:$H$14))*F65,2)))))</f>
        <v>2.78</v>
      </c>
      <c r="K65" s="80">
        <f t="shared" ref="K65" si="60">ABS(J65-J66)</f>
        <v>0</v>
      </c>
      <c r="L65" s="103">
        <f>IF(OR(J65="",J66=""),"",IF(OR(J65="менее 2,0",J66="менее 2,0"),"менее 2,0",IF(OR(J65="более "&amp;$B$14&amp;",0",J66="более "&amp;$B$14&amp;",0"),"более "&amp;$B$14&amp;",0",ROUND(AVERAGE(J65:J66),1))))</f>
        <v>2.8</v>
      </c>
      <c r="M65" s="104"/>
    </row>
    <row r="66" spans="1:13" x14ac:dyDescent="0.25">
      <c r="A66" s="109"/>
      <c r="B66" s="112"/>
      <c r="C66" s="113"/>
      <c r="D66" s="106">
        <v>50</v>
      </c>
      <c r="E66" s="107"/>
      <c r="F66" s="115"/>
      <c r="G66" s="52">
        <v>1.165</v>
      </c>
      <c r="H66" s="43">
        <f t="shared" si="2"/>
        <v>0.25508615260874834</v>
      </c>
      <c r="I66" s="117">
        <f>IF(G66=H66,"0,0%",STDEV(G66:H66)/AVERAGE(G66:H66))</f>
        <v>0.90615101147762844</v>
      </c>
      <c r="J66" s="22">
        <f t="shared" ref="J66" si="61">IF(G66="","",IF($G$21/G66&lt;1,"менее 2,0",IF(10^((H66-INTERCEPT($I$11:$I$14,$H$11:$H$14))/SLOPE($I$11:$I$14,$H$11:$H$14))&gt;$B$14,"более "&amp;$B$14&amp;",0",IF(10^((H66-INTERCEPT($I$11:$I$14,$H$11:$H$14))/SLOPE($I$11:$I$14,$H$11:$H$14))&lt;2,"менее 2,0",ROUND(10^((H66-INTERCEPT($I$11:$I$14,$H$11:$H$14))/SLOPE($I$11:$I$14,$H$11:$H$14))*F65,2)))))</f>
        <v>2.78</v>
      </c>
      <c r="K66" s="81">
        <f t="shared" ref="K66" si="62">IF(OR(D65=12,D65=13),"",VLOOKUP(D65,$P$4:$T$16,3,FALSE))</f>
        <v>34.799999999999997</v>
      </c>
      <c r="L66" s="103"/>
      <c r="M66" s="105"/>
    </row>
  </sheetData>
  <mergeCells count="186">
    <mergeCell ref="A1:D1"/>
    <mergeCell ref="E1:I1"/>
    <mergeCell ref="A63:A64"/>
    <mergeCell ref="B63:C64"/>
    <mergeCell ref="D63:E63"/>
    <mergeCell ref="F63:F64"/>
    <mergeCell ref="I63:I64"/>
    <mergeCell ref="L65:L66"/>
    <mergeCell ref="A61:A62"/>
    <mergeCell ref="B61:C62"/>
    <mergeCell ref="D61:E61"/>
    <mergeCell ref="F61:F62"/>
    <mergeCell ref="I61:I62"/>
    <mergeCell ref="L61:L62"/>
    <mergeCell ref="A57:A58"/>
    <mergeCell ref="B57:C58"/>
    <mergeCell ref="D57:E57"/>
    <mergeCell ref="F57:F58"/>
    <mergeCell ref="I57:I58"/>
    <mergeCell ref="L57:L58"/>
    <mergeCell ref="A53:A54"/>
    <mergeCell ref="B53:C54"/>
    <mergeCell ref="D53:E53"/>
    <mergeCell ref="F53:F54"/>
    <mergeCell ref="M65:M66"/>
    <mergeCell ref="D66:E66"/>
    <mergeCell ref="L63:L64"/>
    <mergeCell ref="M63:M64"/>
    <mergeCell ref="D64:E64"/>
    <mergeCell ref="A65:A66"/>
    <mergeCell ref="B65:C66"/>
    <mergeCell ref="D65:E65"/>
    <mergeCell ref="F65:F66"/>
    <mergeCell ref="I65:I66"/>
    <mergeCell ref="M61:M62"/>
    <mergeCell ref="D62:E62"/>
    <mergeCell ref="A59:A60"/>
    <mergeCell ref="B59:C60"/>
    <mergeCell ref="D59:E59"/>
    <mergeCell ref="F59:F60"/>
    <mergeCell ref="I59:I60"/>
    <mergeCell ref="L59:L60"/>
    <mergeCell ref="M59:M60"/>
    <mergeCell ref="D60:E60"/>
    <mergeCell ref="M57:M58"/>
    <mergeCell ref="D58:E58"/>
    <mergeCell ref="A55:A56"/>
    <mergeCell ref="B55:C56"/>
    <mergeCell ref="D55:E55"/>
    <mergeCell ref="F55:F56"/>
    <mergeCell ref="I55:I56"/>
    <mergeCell ref="L55:L56"/>
    <mergeCell ref="M55:M56"/>
    <mergeCell ref="D56:E56"/>
    <mergeCell ref="I53:I54"/>
    <mergeCell ref="L53:L54"/>
    <mergeCell ref="M53:M54"/>
    <mergeCell ref="D54:E54"/>
    <mergeCell ref="A51:A52"/>
    <mergeCell ref="B51:C52"/>
    <mergeCell ref="D51:E51"/>
    <mergeCell ref="F51:F52"/>
    <mergeCell ref="I51:I52"/>
    <mergeCell ref="L51:L52"/>
    <mergeCell ref="M51:M52"/>
    <mergeCell ref="D52:E52"/>
    <mergeCell ref="A49:A50"/>
    <mergeCell ref="B49:C50"/>
    <mergeCell ref="D49:E49"/>
    <mergeCell ref="F49:F50"/>
    <mergeCell ref="I49:I50"/>
    <mergeCell ref="L49:L50"/>
    <mergeCell ref="M49:M50"/>
    <mergeCell ref="D50:E50"/>
    <mergeCell ref="A47:A48"/>
    <mergeCell ref="B47:C48"/>
    <mergeCell ref="D47:E47"/>
    <mergeCell ref="F47:F48"/>
    <mergeCell ref="I47:I48"/>
    <mergeCell ref="L47:L48"/>
    <mergeCell ref="M47:M48"/>
    <mergeCell ref="D48:E48"/>
    <mergeCell ref="A45:A46"/>
    <mergeCell ref="B45:C46"/>
    <mergeCell ref="D45:E45"/>
    <mergeCell ref="F45:F46"/>
    <mergeCell ref="I45:I46"/>
    <mergeCell ref="L45:L46"/>
    <mergeCell ref="M45:M46"/>
    <mergeCell ref="D46:E46"/>
    <mergeCell ref="A43:A44"/>
    <mergeCell ref="B43:C44"/>
    <mergeCell ref="D43:E43"/>
    <mergeCell ref="F43:F44"/>
    <mergeCell ref="I43:I44"/>
    <mergeCell ref="L43:L44"/>
    <mergeCell ref="M43:M44"/>
    <mergeCell ref="D44:E44"/>
    <mergeCell ref="A41:A42"/>
    <mergeCell ref="B41:C42"/>
    <mergeCell ref="D41:E41"/>
    <mergeCell ref="F41:F42"/>
    <mergeCell ref="I41:I42"/>
    <mergeCell ref="L41:L42"/>
    <mergeCell ref="M41:M42"/>
    <mergeCell ref="D42:E42"/>
    <mergeCell ref="A39:A40"/>
    <mergeCell ref="B39:C40"/>
    <mergeCell ref="D39:E39"/>
    <mergeCell ref="F39:F40"/>
    <mergeCell ref="I39:I40"/>
    <mergeCell ref="L39:L40"/>
    <mergeCell ref="M39:M40"/>
    <mergeCell ref="D40:E40"/>
    <mergeCell ref="A37:A38"/>
    <mergeCell ref="B37:C38"/>
    <mergeCell ref="D37:E37"/>
    <mergeCell ref="F37:F38"/>
    <mergeCell ref="I37:I38"/>
    <mergeCell ref="L37:L38"/>
    <mergeCell ref="M37:M38"/>
    <mergeCell ref="D38:E38"/>
    <mergeCell ref="A35:A36"/>
    <mergeCell ref="B35:C36"/>
    <mergeCell ref="D35:E35"/>
    <mergeCell ref="F35:F36"/>
    <mergeCell ref="I35:I36"/>
    <mergeCell ref="L35:L36"/>
    <mergeCell ref="M35:M36"/>
    <mergeCell ref="D36:E36"/>
    <mergeCell ref="A33:A34"/>
    <mergeCell ref="B33:C34"/>
    <mergeCell ref="D33:E33"/>
    <mergeCell ref="F33:F34"/>
    <mergeCell ref="I33:I34"/>
    <mergeCell ref="L33:L34"/>
    <mergeCell ref="M33:M34"/>
    <mergeCell ref="D34:E34"/>
    <mergeCell ref="A31:A32"/>
    <mergeCell ref="B31:C32"/>
    <mergeCell ref="D31:E31"/>
    <mergeCell ref="F31:F32"/>
    <mergeCell ref="I31:I32"/>
    <mergeCell ref="L31:L32"/>
    <mergeCell ref="M31:M32"/>
    <mergeCell ref="D32:E32"/>
    <mergeCell ref="L27:L28"/>
    <mergeCell ref="M27:M28"/>
    <mergeCell ref="D28:E28"/>
    <mergeCell ref="A29:A30"/>
    <mergeCell ref="B29:C30"/>
    <mergeCell ref="D29:E29"/>
    <mergeCell ref="F29:F30"/>
    <mergeCell ref="I29:I30"/>
    <mergeCell ref="A27:A28"/>
    <mergeCell ref="B27:C28"/>
    <mergeCell ref="D27:E27"/>
    <mergeCell ref="F27:F28"/>
    <mergeCell ref="I27:I28"/>
    <mergeCell ref="L29:L30"/>
    <mergeCell ref="M29:M30"/>
    <mergeCell ref="D30:E30"/>
    <mergeCell ref="B25:C25"/>
    <mergeCell ref="D25:E25"/>
    <mergeCell ref="B26:C26"/>
    <mergeCell ref="D26:E26"/>
    <mergeCell ref="B23:C23"/>
    <mergeCell ref="D23:E23"/>
    <mergeCell ref="B24:C24"/>
    <mergeCell ref="D24:E24"/>
    <mergeCell ref="B22:C22"/>
    <mergeCell ref="D22:E22"/>
    <mergeCell ref="B21:C21"/>
    <mergeCell ref="D21:E21"/>
    <mergeCell ref="A7:B7"/>
    <mergeCell ref="C7:H7"/>
    <mergeCell ref="A9:C9"/>
    <mergeCell ref="D9:E9"/>
    <mergeCell ref="B20:C20"/>
    <mergeCell ref="D20:E20"/>
    <mergeCell ref="A4:B4"/>
    <mergeCell ref="C4:H4"/>
    <mergeCell ref="A5:B5"/>
    <mergeCell ref="C5:H5"/>
    <mergeCell ref="A6:B6"/>
    <mergeCell ref="C6:H6"/>
  </mergeCells>
  <phoneticPr fontId="19" type="noConversion"/>
  <pageMargins left="0.7" right="0.7" top="0.32" bottom="0.32" header="0.3" footer="0.3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47625</xdr:colOff>
                    <xdr:row>26</xdr:row>
                    <xdr:rowOff>57150</xdr:rowOff>
                  </from>
                  <to>
                    <xdr:col>5</xdr:col>
                    <xdr:colOff>9525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47625</xdr:colOff>
                    <xdr:row>28</xdr:row>
                    <xdr:rowOff>57150</xdr:rowOff>
                  </from>
                  <to>
                    <xdr:col>5</xdr:col>
                    <xdr:colOff>9525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47625</xdr:colOff>
                    <xdr:row>30</xdr:row>
                    <xdr:rowOff>57150</xdr:rowOff>
                  </from>
                  <to>
                    <xdr:col>5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3</xdr:col>
                    <xdr:colOff>47625</xdr:colOff>
                    <xdr:row>32</xdr:row>
                    <xdr:rowOff>57150</xdr:rowOff>
                  </from>
                  <to>
                    <xdr:col>5</xdr:col>
                    <xdr:colOff>9525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3</xdr:col>
                    <xdr:colOff>47625</xdr:colOff>
                    <xdr:row>34</xdr:row>
                    <xdr:rowOff>57150</xdr:rowOff>
                  </from>
                  <to>
                    <xdr:col>5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3</xdr:col>
                    <xdr:colOff>47625</xdr:colOff>
                    <xdr:row>36</xdr:row>
                    <xdr:rowOff>57150</xdr:rowOff>
                  </from>
                  <to>
                    <xdr:col>5</xdr:col>
                    <xdr:colOff>9525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3</xdr:col>
                    <xdr:colOff>47625</xdr:colOff>
                    <xdr:row>38</xdr:row>
                    <xdr:rowOff>57150</xdr:rowOff>
                  </from>
                  <to>
                    <xdr:col>5</xdr:col>
                    <xdr:colOff>9525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3</xdr:col>
                    <xdr:colOff>47625</xdr:colOff>
                    <xdr:row>40</xdr:row>
                    <xdr:rowOff>57150</xdr:rowOff>
                  </from>
                  <to>
                    <xdr:col>5</xdr:col>
                    <xdr:colOff>9525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Drop Down 9">
              <controlPr defaultSize="0" autoLine="0" autoPict="0">
                <anchor moveWithCells="1">
                  <from>
                    <xdr:col>3</xdr:col>
                    <xdr:colOff>47625</xdr:colOff>
                    <xdr:row>42</xdr:row>
                    <xdr:rowOff>57150</xdr:rowOff>
                  </from>
                  <to>
                    <xdr:col>5</xdr:col>
                    <xdr:colOff>9525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Drop Down 10">
              <controlPr defaultSize="0" autoLine="0" autoPict="0">
                <anchor moveWithCells="1">
                  <from>
                    <xdr:col>3</xdr:col>
                    <xdr:colOff>47625</xdr:colOff>
                    <xdr:row>44</xdr:row>
                    <xdr:rowOff>57150</xdr:rowOff>
                  </from>
                  <to>
                    <xdr:col>5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Drop Down 11">
              <controlPr defaultSize="0" autoLine="0" autoPict="0">
                <anchor moveWithCells="1">
                  <from>
                    <xdr:col>3</xdr:col>
                    <xdr:colOff>47625</xdr:colOff>
                    <xdr:row>46</xdr:row>
                    <xdr:rowOff>57150</xdr:rowOff>
                  </from>
                  <to>
                    <xdr:col>5</xdr:col>
                    <xdr:colOff>9525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Drop Down 12">
              <controlPr defaultSize="0" autoLine="0" autoPict="0">
                <anchor moveWithCells="1">
                  <from>
                    <xdr:col>3</xdr:col>
                    <xdr:colOff>47625</xdr:colOff>
                    <xdr:row>48</xdr:row>
                    <xdr:rowOff>57150</xdr:rowOff>
                  </from>
                  <to>
                    <xdr:col>5</xdr:col>
                    <xdr:colOff>9525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Drop Down 13">
              <controlPr defaultSize="0" autoLine="0" autoPict="0">
                <anchor moveWithCells="1">
                  <from>
                    <xdr:col>3</xdr:col>
                    <xdr:colOff>47625</xdr:colOff>
                    <xdr:row>50</xdr:row>
                    <xdr:rowOff>57150</xdr:rowOff>
                  </from>
                  <to>
                    <xdr:col>5</xdr:col>
                    <xdr:colOff>9525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Drop Down 14">
              <controlPr defaultSize="0" autoLine="0" autoPict="0">
                <anchor moveWithCells="1">
                  <from>
                    <xdr:col>3</xdr:col>
                    <xdr:colOff>47625</xdr:colOff>
                    <xdr:row>52</xdr:row>
                    <xdr:rowOff>57150</xdr:rowOff>
                  </from>
                  <to>
                    <xdr:col>5</xdr:col>
                    <xdr:colOff>9525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Drop Down 15">
              <controlPr defaultSize="0" autoLine="0" autoPict="0">
                <anchor moveWithCells="1">
                  <from>
                    <xdr:col>3</xdr:col>
                    <xdr:colOff>47625</xdr:colOff>
                    <xdr:row>54</xdr:row>
                    <xdr:rowOff>57150</xdr:rowOff>
                  </from>
                  <to>
                    <xdr:col>5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Drop Down 16">
              <controlPr defaultSize="0" autoLine="0" autoPict="0">
                <anchor moveWithCells="1">
                  <from>
                    <xdr:col>3</xdr:col>
                    <xdr:colOff>47625</xdr:colOff>
                    <xdr:row>56</xdr:row>
                    <xdr:rowOff>57150</xdr:rowOff>
                  </from>
                  <to>
                    <xdr:col>5</xdr:col>
                    <xdr:colOff>9525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Drop Down 17">
              <controlPr defaultSize="0" autoLine="0" autoPict="0">
                <anchor moveWithCells="1">
                  <from>
                    <xdr:col>3</xdr:col>
                    <xdr:colOff>47625</xdr:colOff>
                    <xdr:row>58</xdr:row>
                    <xdr:rowOff>57150</xdr:rowOff>
                  </from>
                  <to>
                    <xdr:col>5</xdr:col>
                    <xdr:colOff>9525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Drop Down 18">
              <controlPr defaultSize="0" autoLine="0" autoPict="0">
                <anchor moveWithCells="1">
                  <from>
                    <xdr:col>3</xdr:col>
                    <xdr:colOff>47625</xdr:colOff>
                    <xdr:row>60</xdr:row>
                    <xdr:rowOff>57150</xdr:rowOff>
                  </from>
                  <to>
                    <xdr:col>5</xdr:col>
                    <xdr:colOff>9525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Drop Down 19">
              <controlPr defaultSize="0" autoLine="0" autoPict="0">
                <anchor moveWithCells="1">
                  <from>
                    <xdr:col>3</xdr:col>
                    <xdr:colOff>47625</xdr:colOff>
                    <xdr:row>62</xdr:row>
                    <xdr:rowOff>57150</xdr:rowOff>
                  </from>
                  <to>
                    <xdr:col>5</xdr:col>
                    <xdr:colOff>9525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Drop Down 20">
              <controlPr defaultSize="0" autoLine="0" autoPict="0">
                <anchor moveWithCells="1">
                  <from>
                    <xdr:col>3</xdr:col>
                    <xdr:colOff>47625</xdr:colOff>
                    <xdr:row>64</xdr:row>
                    <xdr:rowOff>57150</xdr:rowOff>
                  </from>
                  <to>
                    <xdr:col>5</xdr:col>
                    <xdr:colOff>9525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Drop Down 22">
              <controlPr defaultSize="0" autoLine="0" autoPict="0">
                <anchor moveWithCells="1">
                  <from>
                    <xdr:col>3</xdr:col>
                    <xdr:colOff>47625</xdr:colOff>
                    <xdr:row>28</xdr:row>
                    <xdr:rowOff>57150</xdr:rowOff>
                  </from>
                  <to>
                    <xdr:col>5</xdr:col>
                    <xdr:colOff>9525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Drop Down 24">
              <controlPr defaultSize="0" autoLine="0" autoPict="0">
                <anchor moveWithCells="1">
                  <from>
                    <xdr:col>3</xdr:col>
                    <xdr:colOff>47625</xdr:colOff>
                    <xdr:row>30</xdr:row>
                    <xdr:rowOff>57150</xdr:rowOff>
                  </from>
                  <to>
                    <xdr:col>5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Drop Down 26">
              <controlPr defaultSize="0" autoLine="0" autoPict="0">
                <anchor moveWithCells="1">
                  <from>
                    <xdr:col>3</xdr:col>
                    <xdr:colOff>47625</xdr:colOff>
                    <xdr:row>32</xdr:row>
                    <xdr:rowOff>57150</xdr:rowOff>
                  </from>
                  <to>
                    <xdr:col>5</xdr:col>
                    <xdr:colOff>9525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Drop Down 28">
              <controlPr defaultSize="0" autoLine="0" autoPict="0">
                <anchor moveWithCells="1">
                  <from>
                    <xdr:col>3</xdr:col>
                    <xdr:colOff>47625</xdr:colOff>
                    <xdr:row>34</xdr:row>
                    <xdr:rowOff>57150</xdr:rowOff>
                  </from>
                  <to>
                    <xdr:col>5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Drop Down 30">
              <controlPr defaultSize="0" autoLine="0" autoPict="0">
                <anchor moveWithCells="1">
                  <from>
                    <xdr:col>3</xdr:col>
                    <xdr:colOff>47625</xdr:colOff>
                    <xdr:row>36</xdr:row>
                    <xdr:rowOff>57150</xdr:rowOff>
                  </from>
                  <to>
                    <xdr:col>5</xdr:col>
                    <xdr:colOff>9525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Drop Down 32">
              <controlPr defaultSize="0" autoLine="0" autoPict="0">
                <anchor moveWithCells="1">
                  <from>
                    <xdr:col>3</xdr:col>
                    <xdr:colOff>47625</xdr:colOff>
                    <xdr:row>38</xdr:row>
                    <xdr:rowOff>57150</xdr:rowOff>
                  </from>
                  <to>
                    <xdr:col>5</xdr:col>
                    <xdr:colOff>9525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Drop Down 34">
              <controlPr defaultSize="0" autoLine="0" autoPict="0">
                <anchor moveWithCells="1">
                  <from>
                    <xdr:col>3</xdr:col>
                    <xdr:colOff>47625</xdr:colOff>
                    <xdr:row>40</xdr:row>
                    <xdr:rowOff>57150</xdr:rowOff>
                  </from>
                  <to>
                    <xdr:col>5</xdr:col>
                    <xdr:colOff>9525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Drop Down 36">
              <controlPr defaultSize="0" autoLine="0" autoPict="0">
                <anchor moveWithCells="1">
                  <from>
                    <xdr:col>3</xdr:col>
                    <xdr:colOff>47625</xdr:colOff>
                    <xdr:row>42</xdr:row>
                    <xdr:rowOff>57150</xdr:rowOff>
                  </from>
                  <to>
                    <xdr:col>5</xdr:col>
                    <xdr:colOff>9525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Drop Down 38">
              <controlPr defaultSize="0" autoLine="0" autoPict="0">
                <anchor moveWithCells="1">
                  <from>
                    <xdr:col>3</xdr:col>
                    <xdr:colOff>47625</xdr:colOff>
                    <xdr:row>44</xdr:row>
                    <xdr:rowOff>57150</xdr:rowOff>
                  </from>
                  <to>
                    <xdr:col>5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Drop Down 40">
              <controlPr defaultSize="0" autoLine="0" autoPict="0">
                <anchor moveWithCells="1">
                  <from>
                    <xdr:col>3</xdr:col>
                    <xdr:colOff>47625</xdr:colOff>
                    <xdr:row>46</xdr:row>
                    <xdr:rowOff>57150</xdr:rowOff>
                  </from>
                  <to>
                    <xdr:col>5</xdr:col>
                    <xdr:colOff>9525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Drop Down 42">
              <controlPr defaultSize="0" autoLine="0" autoPict="0">
                <anchor moveWithCells="1">
                  <from>
                    <xdr:col>3</xdr:col>
                    <xdr:colOff>47625</xdr:colOff>
                    <xdr:row>48</xdr:row>
                    <xdr:rowOff>57150</xdr:rowOff>
                  </from>
                  <to>
                    <xdr:col>5</xdr:col>
                    <xdr:colOff>9525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Drop Down 44">
              <controlPr defaultSize="0" autoLine="0" autoPict="0">
                <anchor moveWithCells="1">
                  <from>
                    <xdr:col>3</xdr:col>
                    <xdr:colOff>47625</xdr:colOff>
                    <xdr:row>50</xdr:row>
                    <xdr:rowOff>57150</xdr:rowOff>
                  </from>
                  <to>
                    <xdr:col>5</xdr:col>
                    <xdr:colOff>9525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Drop Down 46">
              <controlPr defaultSize="0" autoLine="0" autoPict="0">
                <anchor moveWithCells="1">
                  <from>
                    <xdr:col>3</xdr:col>
                    <xdr:colOff>47625</xdr:colOff>
                    <xdr:row>52</xdr:row>
                    <xdr:rowOff>57150</xdr:rowOff>
                  </from>
                  <to>
                    <xdr:col>5</xdr:col>
                    <xdr:colOff>9525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Drop Down 48">
              <controlPr defaultSize="0" autoLine="0" autoPict="0">
                <anchor moveWithCells="1">
                  <from>
                    <xdr:col>3</xdr:col>
                    <xdr:colOff>47625</xdr:colOff>
                    <xdr:row>54</xdr:row>
                    <xdr:rowOff>57150</xdr:rowOff>
                  </from>
                  <to>
                    <xdr:col>5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Drop Down 50">
              <controlPr defaultSize="0" autoLine="0" autoPict="0">
                <anchor moveWithCells="1">
                  <from>
                    <xdr:col>3</xdr:col>
                    <xdr:colOff>47625</xdr:colOff>
                    <xdr:row>56</xdr:row>
                    <xdr:rowOff>57150</xdr:rowOff>
                  </from>
                  <to>
                    <xdr:col>5</xdr:col>
                    <xdr:colOff>9525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Drop Down 52">
              <controlPr defaultSize="0" autoLine="0" autoPict="0">
                <anchor moveWithCells="1">
                  <from>
                    <xdr:col>3</xdr:col>
                    <xdr:colOff>47625</xdr:colOff>
                    <xdr:row>58</xdr:row>
                    <xdr:rowOff>57150</xdr:rowOff>
                  </from>
                  <to>
                    <xdr:col>5</xdr:col>
                    <xdr:colOff>9525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Drop Down 54">
              <controlPr defaultSize="0" autoLine="0" autoPict="0">
                <anchor moveWithCells="1">
                  <from>
                    <xdr:col>3</xdr:col>
                    <xdr:colOff>47625</xdr:colOff>
                    <xdr:row>60</xdr:row>
                    <xdr:rowOff>57150</xdr:rowOff>
                  </from>
                  <to>
                    <xdr:col>5</xdr:col>
                    <xdr:colOff>9525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Drop Down 56">
              <controlPr defaultSize="0" autoLine="0" autoPict="0">
                <anchor moveWithCells="1">
                  <from>
                    <xdr:col>3</xdr:col>
                    <xdr:colOff>47625</xdr:colOff>
                    <xdr:row>62</xdr:row>
                    <xdr:rowOff>57150</xdr:rowOff>
                  </from>
                  <to>
                    <xdr:col>5</xdr:col>
                    <xdr:colOff>9525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Drop Down 58">
              <controlPr defaultSize="0" autoLine="0" autoPict="0">
                <anchor moveWithCells="1">
                  <from>
                    <xdr:col>3</xdr:col>
                    <xdr:colOff>47625</xdr:colOff>
                    <xdr:row>64</xdr:row>
                    <xdr:rowOff>57150</xdr:rowOff>
                  </from>
                  <to>
                    <xdr:col>5</xdr:col>
                    <xdr:colOff>9525</xdr:colOff>
                    <xdr:row>65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9B4B-1A97-4B3B-8E0B-F715708E8A60}">
  <sheetPr>
    <pageSetUpPr fitToPage="1"/>
  </sheetPr>
  <dimension ref="A1:Q44"/>
  <sheetViews>
    <sheetView zoomScale="90" zoomScaleNormal="90" workbookViewId="0">
      <pane ySplit="1" topLeftCell="A17" activePane="bottomLeft" state="frozen"/>
      <selection pane="bottomLeft" activeCell="G33" sqref="G33:I33"/>
    </sheetView>
  </sheetViews>
  <sheetFormatPr defaultRowHeight="15" x14ac:dyDescent="0.25"/>
  <cols>
    <col min="1" max="1" width="3.42578125" style="13" customWidth="1"/>
    <col min="2" max="2" width="11.42578125" style="13" customWidth="1"/>
    <col min="3" max="3" width="16.42578125" style="13" customWidth="1"/>
    <col min="4" max="8" width="13.5703125" style="13" customWidth="1"/>
    <col min="9" max="9" width="13.140625" style="13" customWidth="1"/>
    <col min="10" max="10" width="10" style="13" hidden="1" customWidth="1"/>
    <col min="11" max="11" width="28.5703125" style="13" customWidth="1"/>
    <col min="13" max="13" width="4.7109375" customWidth="1"/>
    <col min="14" max="14" width="18" customWidth="1"/>
    <col min="15" max="15" width="11.5703125" customWidth="1"/>
    <col min="16" max="16" width="15.28515625" customWidth="1"/>
    <col min="17" max="17" width="16.85546875" customWidth="1"/>
    <col min="18" max="18" width="15.85546875" customWidth="1"/>
  </cols>
  <sheetData>
    <row r="1" spans="1:17" ht="66" customHeight="1" thickBot="1" x14ac:dyDescent="0.3">
      <c r="A1" s="118"/>
      <c r="B1" s="119"/>
      <c r="C1" s="119"/>
      <c r="D1" s="119"/>
      <c r="E1" s="120" t="s">
        <v>41</v>
      </c>
      <c r="F1" s="121"/>
      <c r="G1" s="121"/>
      <c r="H1" s="121"/>
    </row>
    <row r="2" spans="1:17" ht="15.75" x14ac:dyDescent="0.25">
      <c r="A2" s="1" t="s">
        <v>40</v>
      </c>
      <c r="B2" s="2"/>
      <c r="C2" s="3"/>
      <c r="D2" s="3"/>
      <c r="E2" s="3"/>
      <c r="F2" s="3"/>
      <c r="G2" s="3"/>
      <c r="H2" s="3"/>
      <c r="I2" s="3"/>
      <c r="J2" s="3"/>
      <c r="K2" s="3"/>
    </row>
    <row r="3" spans="1:17" ht="15" customHeight="1" x14ac:dyDescent="0.25">
      <c r="A3" s="3"/>
      <c r="B3" s="3"/>
      <c r="C3" s="4"/>
      <c r="D3" s="4"/>
      <c r="E3" s="4"/>
      <c r="F3" s="4"/>
      <c r="G3" s="3"/>
      <c r="H3" s="3"/>
      <c r="I3" s="3"/>
      <c r="J3" s="3"/>
      <c r="K3" s="3"/>
      <c r="O3" s="5"/>
      <c r="P3" s="6"/>
      <c r="Q3" s="6"/>
    </row>
    <row r="4" spans="1:17" x14ac:dyDescent="0.25">
      <c r="A4" s="102" t="s">
        <v>3</v>
      </c>
      <c r="B4" s="124"/>
      <c r="C4" s="92"/>
      <c r="D4" s="93"/>
      <c r="E4" s="93"/>
      <c r="F4" s="94"/>
      <c r="G4" s="94"/>
      <c r="H4" s="95"/>
      <c r="I4" s="3"/>
      <c r="J4" s="3"/>
      <c r="K4" s="3"/>
    </row>
    <row r="5" spans="1:17" x14ac:dyDescent="0.25">
      <c r="A5" s="102" t="s">
        <v>4</v>
      </c>
      <c r="B5" s="124"/>
      <c r="C5" s="92"/>
      <c r="D5" s="93"/>
      <c r="E5" s="93"/>
      <c r="F5" s="94"/>
      <c r="G5" s="94"/>
      <c r="H5" s="95"/>
      <c r="I5" s="3"/>
      <c r="J5" s="3"/>
      <c r="K5" s="3"/>
    </row>
    <row r="6" spans="1:17" x14ac:dyDescent="0.25">
      <c r="A6" s="102" t="s">
        <v>6</v>
      </c>
      <c r="B6" s="124"/>
      <c r="C6" s="92"/>
      <c r="D6" s="93"/>
      <c r="E6" s="93"/>
      <c r="F6" s="94"/>
      <c r="G6" s="94"/>
      <c r="H6" s="95"/>
      <c r="I6" s="3"/>
      <c r="J6" s="3"/>
      <c r="K6" s="3"/>
    </row>
    <row r="7" spans="1:17" x14ac:dyDescent="0.25">
      <c r="A7" s="123"/>
      <c r="B7" s="124"/>
      <c r="C7" s="92"/>
      <c r="D7" s="93"/>
      <c r="E7" s="93"/>
      <c r="F7" s="94"/>
      <c r="G7" s="94"/>
      <c r="H7" s="95"/>
      <c r="I7" s="3"/>
      <c r="J7" s="3"/>
      <c r="K7" s="3"/>
    </row>
    <row r="8" spans="1:17" ht="15.75" x14ac:dyDescent="0.25">
      <c r="A8" s="1" t="s">
        <v>9</v>
      </c>
      <c r="B8" s="2"/>
      <c r="C8" s="4"/>
      <c r="D8" s="4"/>
      <c r="E8" s="4"/>
      <c r="F8" s="4"/>
      <c r="G8" s="3"/>
      <c r="H8" s="3"/>
      <c r="I8" s="3"/>
      <c r="J8" s="3"/>
      <c r="K8" s="3"/>
    </row>
    <row r="9" spans="1:17" ht="16.5" x14ac:dyDescent="0.25">
      <c r="A9" s="96" t="s">
        <v>11</v>
      </c>
      <c r="B9" s="97"/>
      <c r="C9" s="97"/>
      <c r="D9" s="98" t="s">
        <v>12</v>
      </c>
      <c r="E9" s="99"/>
      <c r="F9" s="59" t="s">
        <v>13</v>
      </c>
      <c r="G9" s="79" t="s">
        <v>45</v>
      </c>
      <c r="H9" s="79" t="s">
        <v>44</v>
      </c>
      <c r="J9" s="78"/>
      <c r="K9" s="3"/>
    </row>
    <row r="10" spans="1:17" x14ac:dyDescent="0.25">
      <c r="A10" s="16" t="s">
        <v>18</v>
      </c>
      <c r="B10" s="17">
        <v>0</v>
      </c>
      <c r="C10" s="76" t="s">
        <v>19</v>
      </c>
      <c r="D10" s="125">
        <v>1.8169999999999999</v>
      </c>
      <c r="E10" s="126"/>
      <c r="F10" s="20">
        <f>D10/$D$10</f>
        <v>1</v>
      </c>
      <c r="G10" s="74"/>
      <c r="H10" s="77"/>
      <c r="J10" s="73"/>
      <c r="K10" s="3"/>
    </row>
    <row r="11" spans="1:17" x14ac:dyDescent="0.25">
      <c r="A11" s="25" t="s">
        <v>21</v>
      </c>
      <c r="B11" s="26">
        <v>1</v>
      </c>
      <c r="C11" s="76" t="s">
        <v>19</v>
      </c>
      <c r="D11" s="125">
        <v>1.48</v>
      </c>
      <c r="E11" s="126"/>
      <c r="F11" s="20">
        <f>D11/$D$10</f>
        <v>0.81452944413869022</v>
      </c>
      <c r="G11" s="74">
        <f>LOG(B11)</f>
        <v>0</v>
      </c>
      <c r="H11" s="74">
        <f>LOG((F11/(1-F11)))</f>
        <v>0.64263181452361895</v>
      </c>
      <c r="J11" s="73"/>
      <c r="K11" s="71"/>
    </row>
    <row r="12" spans="1:17" x14ac:dyDescent="0.25">
      <c r="A12" s="25" t="s">
        <v>23</v>
      </c>
      <c r="B12" s="26">
        <v>3</v>
      </c>
      <c r="C12" s="76" t="s">
        <v>19</v>
      </c>
      <c r="D12" s="125">
        <v>1.155</v>
      </c>
      <c r="E12" s="126"/>
      <c r="F12" s="20">
        <f>D12/$D$10</f>
        <v>0.63566318106769404</v>
      </c>
      <c r="G12" s="74">
        <f>LOG(B12)</f>
        <v>0.47712125471966244</v>
      </c>
      <c r="H12" s="74">
        <f>LOG((F12/(1-F12)))</f>
        <v>0.24172399478846326</v>
      </c>
      <c r="J12" s="73"/>
      <c r="K12" s="71"/>
    </row>
    <row r="13" spans="1:17" x14ac:dyDescent="0.25">
      <c r="A13" s="25" t="s">
        <v>25</v>
      </c>
      <c r="B13" s="26">
        <v>10</v>
      </c>
      <c r="C13" s="76" t="s">
        <v>19</v>
      </c>
      <c r="D13" s="125">
        <v>0.498</v>
      </c>
      <c r="E13" s="126"/>
      <c r="F13" s="20">
        <f>D13/$D$10</f>
        <v>0.27407815079801873</v>
      </c>
      <c r="G13" s="74">
        <f>LOG(B13)</f>
        <v>1</v>
      </c>
      <c r="H13" s="74">
        <f>LOG((F13/(1-F13)))</f>
        <v>-0.42301545278664771</v>
      </c>
      <c r="J13" s="73"/>
      <c r="K13" s="71"/>
    </row>
    <row r="14" spans="1:17" x14ac:dyDescent="0.25">
      <c r="A14" s="28" t="s">
        <v>27</v>
      </c>
      <c r="B14" s="29">
        <v>40</v>
      </c>
      <c r="C14" s="75" t="s">
        <v>19</v>
      </c>
      <c r="D14" s="125">
        <v>0.156</v>
      </c>
      <c r="E14" s="126"/>
      <c r="F14" s="20">
        <f>D14/$D$10</f>
        <v>8.5855806274078156E-2</v>
      </c>
      <c r="G14" s="74">
        <f>LOG(B14)</f>
        <v>1.6020599913279623</v>
      </c>
      <c r="H14" s="74">
        <f>LOG((F14/(1-F14)))</f>
        <v>-1.0272450340969328</v>
      </c>
      <c r="J14" s="73"/>
      <c r="K14" s="71"/>
    </row>
    <row r="15" spans="1:17" x14ac:dyDescent="0.25">
      <c r="A15" s="3"/>
      <c r="B15" s="3"/>
      <c r="C15" s="3"/>
      <c r="D15" s="3"/>
      <c r="E15" s="3"/>
      <c r="F15" s="3"/>
      <c r="G15" s="72"/>
      <c r="H15" s="3"/>
      <c r="I15" s="71"/>
      <c r="J15" s="71"/>
      <c r="K15" s="71"/>
    </row>
    <row r="16" spans="1:17" x14ac:dyDescent="0.25">
      <c r="A16" s="3"/>
      <c r="B16" s="3"/>
      <c r="C16" s="3"/>
      <c r="D16" s="3"/>
      <c r="E16" s="3"/>
      <c r="F16" s="3"/>
      <c r="G16" s="70"/>
      <c r="H16" s="69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68"/>
      <c r="H17" s="67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6"/>
    </row>
    <row r="19" spans="1:11" ht="15.75" x14ac:dyDescent="0.25">
      <c r="A19" s="1" t="s">
        <v>29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40.5" customHeight="1" x14ac:dyDescent="0.25">
      <c r="A20" s="59" t="s">
        <v>30</v>
      </c>
      <c r="B20" s="100" t="s">
        <v>31</v>
      </c>
      <c r="C20" s="100"/>
      <c r="D20" s="98" t="s">
        <v>32</v>
      </c>
      <c r="E20" s="101"/>
      <c r="F20" s="38" t="s">
        <v>33</v>
      </c>
      <c r="G20" s="38" t="s">
        <v>34</v>
      </c>
      <c r="H20" s="59" t="s">
        <v>35</v>
      </c>
      <c r="I20" s="59" t="s">
        <v>36</v>
      </c>
      <c r="J20" s="59"/>
      <c r="K20" s="60" t="s">
        <v>37</v>
      </c>
    </row>
    <row r="21" spans="1:11" x14ac:dyDescent="0.25">
      <c r="A21" s="65" t="s">
        <v>18</v>
      </c>
      <c r="B21" s="123" t="s">
        <v>11</v>
      </c>
      <c r="C21" s="123"/>
      <c r="D21" s="89"/>
      <c r="E21" s="90"/>
      <c r="F21" s="41"/>
      <c r="G21" s="66">
        <v>2.948</v>
      </c>
      <c r="H21" s="44"/>
      <c r="I21" s="44"/>
      <c r="J21" s="44"/>
      <c r="K21" s="46"/>
    </row>
    <row r="22" spans="1:11" x14ac:dyDescent="0.25">
      <c r="A22" s="65" t="s">
        <v>21</v>
      </c>
      <c r="B22" s="123" t="s">
        <v>11</v>
      </c>
      <c r="C22" s="123"/>
      <c r="D22" s="89"/>
      <c r="E22" s="90"/>
      <c r="F22" s="41"/>
      <c r="G22" s="66">
        <v>2.77</v>
      </c>
      <c r="H22" s="44"/>
      <c r="I22" s="22">
        <f>ROUND(10^((H22-INTERCEPT($H$11:$H$14,$G$11:$G$14))/SLOPE($H$11:$H$14,$G$11:$G$14)),2)</f>
        <v>4.34</v>
      </c>
      <c r="J22" s="22"/>
      <c r="K22" s="48"/>
    </row>
    <row r="23" spans="1:11" x14ac:dyDescent="0.25">
      <c r="A23" s="65" t="s">
        <v>23</v>
      </c>
      <c r="B23" s="123" t="s">
        <v>11</v>
      </c>
      <c r="C23" s="123"/>
      <c r="D23" s="89"/>
      <c r="E23" s="90"/>
      <c r="F23" s="41"/>
      <c r="G23" s="66">
        <v>2.48</v>
      </c>
      <c r="H23" s="44"/>
      <c r="I23" s="22">
        <f>ROUND(10^((H23-INTERCEPT($H$11:$H$14,$G$11:$G$14))/SLOPE($H$11:$H$14,$G$11:$G$14)),2)</f>
        <v>4.34</v>
      </c>
      <c r="J23" s="22"/>
      <c r="K23" s="48"/>
    </row>
    <row r="24" spans="1:11" x14ac:dyDescent="0.25">
      <c r="A24" s="65" t="s">
        <v>25</v>
      </c>
      <c r="B24" s="123" t="s">
        <v>11</v>
      </c>
      <c r="C24" s="123"/>
      <c r="D24" s="89"/>
      <c r="E24" s="90"/>
      <c r="F24" s="41"/>
      <c r="G24" s="66">
        <v>1.3</v>
      </c>
      <c r="H24" s="44"/>
      <c r="I24" s="22">
        <f>ROUND(10^((H24-INTERCEPT($H$11:$H$14,$G$11:$G$14))/SLOPE($H$11:$H$14,$G$11:$G$14)),2)</f>
        <v>4.34</v>
      </c>
      <c r="J24" s="22"/>
      <c r="K24" s="48"/>
    </row>
    <row r="25" spans="1:11" x14ac:dyDescent="0.25">
      <c r="A25" s="65" t="s">
        <v>27</v>
      </c>
      <c r="B25" s="123" t="s">
        <v>11</v>
      </c>
      <c r="C25" s="123"/>
      <c r="D25" s="89"/>
      <c r="E25" s="90"/>
      <c r="F25" s="41"/>
      <c r="G25" s="66">
        <v>0.41</v>
      </c>
      <c r="H25" s="44"/>
      <c r="I25" s="22">
        <f>ROUND(10^((H25-INTERCEPT($H$11:$H$14,$G$11:$G$14))/SLOPE($H$11:$H$14,$G$11:$G$14)),2)</f>
        <v>4.34</v>
      </c>
      <c r="J25" s="22"/>
      <c r="K25" s="48"/>
    </row>
    <row r="26" spans="1:11" x14ac:dyDescent="0.25">
      <c r="A26" s="65"/>
      <c r="B26" s="123"/>
      <c r="C26" s="123"/>
      <c r="D26" s="89"/>
      <c r="E26" s="90"/>
      <c r="F26" s="64"/>
      <c r="G26" s="41"/>
      <c r="H26" s="44"/>
      <c r="I26" s="44"/>
      <c r="J26" s="44"/>
      <c r="K26" s="51"/>
    </row>
    <row r="27" spans="1:11" x14ac:dyDescent="0.25">
      <c r="A27" s="58">
        <v>1</v>
      </c>
      <c r="B27" s="110"/>
      <c r="C27" s="111"/>
      <c r="D27" s="106"/>
      <c r="E27" s="107"/>
      <c r="F27" s="56">
        <v>1</v>
      </c>
      <c r="G27" s="52">
        <v>2.77</v>
      </c>
      <c r="H27" s="44">
        <f t="shared" ref="H27:H44" si="0">IF(G27="","",IF(G27&gt;G$21,"",LOG(((G27/G$21)/(1-(G27/G$21))))))</f>
        <v>1.1920597667555546</v>
      </c>
      <c r="I27" s="22" t="str">
        <f t="shared" ref="I27:I44" si="1">IF(G27="","",IF($G$21/G27&lt;1,"менее 2,0",IF(10^((H27-INTERCEPT($H$11:$H$14,$G$11:$G$14))/SLOPE($H$11:$H$14,$G$11:$G$14))&gt;$B$14,"более "&amp;$B$14&amp;",0",IF(10^((H27-INTERCEPT($H$11:$H$14,$G$11:$G$14))/SLOPE($H$11:$H$14,$G$11:$G$14))&lt;2,"менее 2,0",ROUND(10^((H27-INTERCEPT($H$11:$H$14,$G$11:$G$14))/SLOPE($H$11:$H$14,$G$11:$G$14))*F27,2)))))</f>
        <v>менее 2,0</v>
      </c>
      <c r="J27" s="53" t="e">
        <f>ABS(I27-#REF!)</f>
        <v>#VALUE!</v>
      </c>
      <c r="K27" s="57"/>
    </row>
    <row r="28" spans="1:11" x14ac:dyDescent="0.25">
      <c r="A28" s="58">
        <v>2</v>
      </c>
      <c r="B28" s="110"/>
      <c r="C28" s="111"/>
      <c r="D28" s="106"/>
      <c r="E28" s="107"/>
      <c r="F28" s="56">
        <v>1</v>
      </c>
      <c r="G28" s="52">
        <v>2.85</v>
      </c>
      <c r="H28" s="44">
        <f t="shared" si="0"/>
        <v>1.4636187843160167</v>
      </c>
      <c r="I28" s="22" t="str">
        <f t="shared" si="1"/>
        <v>менее 2,0</v>
      </c>
      <c r="J28" s="53" t="e">
        <f>ABS(I28-#REF!)</f>
        <v>#VALUE!</v>
      </c>
      <c r="K28" s="57"/>
    </row>
    <row r="29" spans="1:11" x14ac:dyDescent="0.25">
      <c r="A29" s="58">
        <v>3</v>
      </c>
      <c r="B29" s="110"/>
      <c r="C29" s="111"/>
      <c r="D29" s="106"/>
      <c r="E29" s="107"/>
      <c r="F29" s="56">
        <v>1</v>
      </c>
      <c r="G29" s="52">
        <v>2.79</v>
      </c>
      <c r="H29" s="44">
        <f t="shared" si="0"/>
        <v>1.2469471163191757</v>
      </c>
      <c r="I29" s="22" t="str">
        <f t="shared" si="1"/>
        <v>менее 2,0</v>
      </c>
      <c r="J29" s="53" t="e">
        <f>ABS(I29-#REF!)</f>
        <v>#VALUE!</v>
      </c>
      <c r="K29" s="57"/>
    </row>
    <row r="30" spans="1:11" x14ac:dyDescent="0.25">
      <c r="A30" s="58">
        <v>4</v>
      </c>
      <c r="B30" s="110"/>
      <c r="C30" s="111"/>
      <c r="D30" s="106"/>
      <c r="E30" s="107"/>
      <c r="F30" s="56">
        <v>1</v>
      </c>
      <c r="G30" s="52">
        <v>2.88</v>
      </c>
      <c r="H30" s="44">
        <f t="shared" si="0"/>
        <v>1.6268835750529944</v>
      </c>
      <c r="I30" s="22" t="str">
        <f t="shared" si="1"/>
        <v>менее 2,0</v>
      </c>
      <c r="J30" s="53" t="e">
        <f>ABS(I30-#REF!)</f>
        <v>#VALUE!</v>
      </c>
      <c r="K30" s="57"/>
    </row>
    <row r="31" spans="1:11" x14ac:dyDescent="0.25">
      <c r="A31" s="58">
        <v>5</v>
      </c>
      <c r="B31" s="110"/>
      <c r="C31" s="111"/>
      <c r="D31" s="106"/>
      <c r="E31" s="107"/>
      <c r="F31" s="56">
        <v>1</v>
      </c>
      <c r="G31" s="52">
        <v>1.77</v>
      </c>
      <c r="H31" s="44">
        <f t="shared" si="0"/>
        <v>0.17682797591072374</v>
      </c>
      <c r="I31" s="22">
        <f t="shared" si="1"/>
        <v>2.96</v>
      </c>
      <c r="J31" s="53" t="e">
        <f>ABS(I31-#REF!)</f>
        <v>#REF!</v>
      </c>
      <c r="K31" s="57"/>
    </row>
    <row r="32" spans="1:11" x14ac:dyDescent="0.25">
      <c r="A32" s="58">
        <v>6</v>
      </c>
      <c r="B32" s="110"/>
      <c r="C32" s="111"/>
      <c r="D32" s="106"/>
      <c r="E32" s="107"/>
      <c r="F32" s="56">
        <v>1</v>
      </c>
      <c r="G32" s="52">
        <v>2.1</v>
      </c>
      <c r="H32" s="44">
        <f t="shared" si="0"/>
        <v>0.39382344247720569</v>
      </c>
      <c r="I32" s="22" t="str">
        <f t="shared" si="1"/>
        <v>менее 2,0</v>
      </c>
      <c r="J32" s="53" t="e">
        <f>ABS(I32-#REF!)</f>
        <v>#VALUE!</v>
      </c>
      <c r="K32" s="57"/>
    </row>
    <row r="33" spans="1:11" x14ac:dyDescent="0.25">
      <c r="A33" s="58">
        <v>7</v>
      </c>
      <c r="B33" s="110"/>
      <c r="C33" s="111"/>
      <c r="D33" s="106"/>
      <c r="E33" s="107"/>
      <c r="F33" s="56">
        <v>1</v>
      </c>
      <c r="G33" s="52"/>
      <c r="H33" s="44"/>
      <c r="I33" s="22"/>
      <c r="J33" s="53" t="e">
        <f>ABS(I33-#REF!)</f>
        <v>#REF!</v>
      </c>
      <c r="K33" s="57"/>
    </row>
    <row r="34" spans="1:11" x14ac:dyDescent="0.25">
      <c r="A34" s="58">
        <v>8</v>
      </c>
      <c r="B34" s="110"/>
      <c r="C34" s="111"/>
      <c r="D34" s="106"/>
      <c r="E34" s="107"/>
      <c r="F34" s="56">
        <v>1</v>
      </c>
      <c r="G34" s="52"/>
      <c r="H34" s="44" t="str">
        <f t="shared" si="0"/>
        <v/>
      </c>
      <c r="I34" s="22" t="str">
        <f t="shared" si="1"/>
        <v/>
      </c>
      <c r="J34" s="53" t="e">
        <f>ABS(I34-#REF!)</f>
        <v>#VALUE!</v>
      </c>
      <c r="K34" s="57"/>
    </row>
    <row r="35" spans="1:11" x14ac:dyDescent="0.25">
      <c r="A35" s="58">
        <v>9</v>
      </c>
      <c r="B35" s="110"/>
      <c r="C35" s="111"/>
      <c r="D35" s="106"/>
      <c r="E35" s="107"/>
      <c r="F35" s="56">
        <v>1</v>
      </c>
      <c r="G35" s="52"/>
      <c r="H35" s="44" t="str">
        <f t="shared" si="0"/>
        <v/>
      </c>
      <c r="I35" s="22" t="str">
        <f t="shared" si="1"/>
        <v/>
      </c>
      <c r="J35" s="53" t="e">
        <f>ABS(I35-#REF!)</f>
        <v>#VALUE!</v>
      </c>
      <c r="K35" s="57"/>
    </row>
    <row r="36" spans="1:11" x14ac:dyDescent="0.25">
      <c r="A36" s="58">
        <v>10</v>
      </c>
      <c r="B36" s="110"/>
      <c r="C36" s="111"/>
      <c r="D36" s="106"/>
      <c r="E36" s="107"/>
      <c r="F36" s="56">
        <v>1</v>
      </c>
      <c r="G36" s="52"/>
      <c r="H36" s="44" t="str">
        <f t="shared" si="0"/>
        <v/>
      </c>
      <c r="I36" s="22" t="str">
        <f t="shared" si="1"/>
        <v/>
      </c>
      <c r="J36" s="53" t="e">
        <f>ABS(I36-#REF!)</f>
        <v>#VALUE!</v>
      </c>
      <c r="K36" s="57"/>
    </row>
    <row r="37" spans="1:11" x14ac:dyDescent="0.25">
      <c r="A37" s="58">
        <v>12</v>
      </c>
      <c r="B37" s="110"/>
      <c r="C37" s="111"/>
      <c r="D37" s="106"/>
      <c r="E37" s="107"/>
      <c r="F37" s="56">
        <v>1</v>
      </c>
      <c r="G37" s="52"/>
      <c r="H37" s="44" t="str">
        <f t="shared" si="0"/>
        <v/>
      </c>
      <c r="I37" s="22" t="str">
        <f t="shared" si="1"/>
        <v/>
      </c>
      <c r="J37" s="53" t="e">
        <f>ABS(I37-#REF!)</f>
        <v>#VALUE!</v>
      </c>
      <c r="K37" s="57"/>
    </row>
    <row r="38" spans="1:11" x14ac:dyDescent="0.25">
      <c r="A38" s="58">
        <v>13</v>
      </c>
      <c r="B38" s="110"/>
      <c r="C38" s="111"/>
      <c r="D38" s="106"/>
      <c r="E38" s="107"/>
      <c r="F38" s="56">
        <v>1</v>
      </c>
      <c r="G38" s="52"/>
      <c r="H38" s="44" t="str">
        <f t="shared" si="0"/>
        <v/>
      </c>
      <c r="I38" s="22" t="str">
        <f t="shared" si="1"/>
        <v/>
      </c>
      <c r="J38" s="53" t="e">
        <f>ABS(I38-#REF!)</f>
        <v>#VALUE!</v>
      </c>
      <c r="K38" s="57"/>
    </row>
    <row r="39" spans="1:11" x14ac:dyDescent="0.25">
      <c r="A39" s="58">
        <v>14</v>
      </c>
      <c r="B39" s="110"/>
      <c r="C39" s="111"/>
      <c r="D39" s="106"/>
      <c r="E39" s="107"/>
      <c r="F39" s="56">
        <v>1</v>
      </c>
      <c r="G39" s="52"/>
      <c r="H39" s="44" t="str">
        <f t="shared" si="0"/>
        <v/>
      </c>
      <c r="I39" s="22" t="str">
        <f t="shared" si="1"/>
        <v/>
      </c>
      <c r="J39" s="53" t="e">
        <f>ABS(I39-#REF!)</f>
        <v>#VALUE!</v>
      </c>
      <c r="K39" s="57"/>
    </row>
    <row r="40" spans="1:11" x14ac:dyDescent="0.25">
      <c r="A40" s="58">
        <v>16</v>
      </c>
      <c r="B40" s="110"/>
      <c r="C40" s="111"/>
      <c r="D40" s="106"/>
      <c r="E40" s="107"/>
      <c r="F40" s="56">
        <v>1</v>
      </c>
      <c r="G40" s="52"/>
      <c r="H40" s="44" t="str">
        <f t="shared" si="0"/>
        <v/>
      </c>
      <c r="I40" s="22" t="str">
        <f t="shared" si="1"/>
        <v/>
      </c>
      <c r="J40" s="53" t="e">
        <f>ABS(I40-#REF!)</f>
        <v>#VALUE!</v>
      </c>
      <c r="K40" s="57"/>
    </row>
    <row r="41" spans="1:11" x14ac:dyDescent="0.25">
      <c r="A41" s="58">
        <v>17</v>
      </c>
      <c r="B41" s="110"/>
      <c r="C41" s="111"/>
      <c r="D41" s="106"/>
      <c r="E41" s="107"/>
      <c r="F41" s="56">
        <v>1</v>
      </c>
      <c r="G41" s="52"/>
      <c r="H41" s="44" t="str">
        <f t="shared" si="0"/>
        <v/>
      </c>
      <c r="I41" s="22" t="str">
        <f t="shared" si="1"/>
        <v/>
      </c>
      <c r="J41" s="53" t="e">
        <f>ABS(I41-#REF!)</f>
        <v>#VALUE!</v>
      </c>
      <c r="K41" s="57"/>
    </row>
    <row r="42" spans="1:11" x14ac:dyDescent="0.25">
      <c r="A42" s="58">
        <v>18</v>
      </c>
      <c r="B42" s="110"/>
      <c r="C42" s="111"/>
      <c r="D42" s="106"/>
      <c r="E42" s="107"/>
      <c r="F42" s="56">
        <v>1</v>
      </c>
      <c r="G42" s="52"/>
      <c r="H42" s="44" t="str">
        <f t="shared" si="0"/>
        <v/>
      </c>
      <c r="I42" s="22" t="str">
        <f t="shared" si="1"/>
        <v/>
      </c>
      <c r="J42" s="53" t="e">
        <f>ABS(I42-#REF!)</f>
        <v>#VALUE!</v>
      </c>
      <c r="K42" s="63"/>
    </row>
    <row r="43" spans="1:11" x14ac:dyDescent="0.25">
      <c r="A43" s="58">
        <v>19</v>
      </c>
      <c r="B43" s="110"/>
      <c r="C43" s="111"/>
      <c r="D43" s="106"/>
      <c r="E43" s="107"/>
      <c r="F43" s="56">
        <v>1</v>
      </c>
      <c r="G43" s="52"/>
      <c r="H43" s="44" t="str">
        <f t="shared" si="0"/>
        <v/>
      </c>
      <c r="I43" s="22" t="str">
        <f t="shared" si="1"/>
        <v/>
      </c>
      <c r="J43" s="53" t="e">
        <f>ABS(I43-#REF!)</f>
        <v>#VALUE!</v>
      </c>
      <c r="K43" s="63"/>
    </row>
    <row r="44" spans="1:11" x14ac:dyDescent="0.25">
      <c r="A44" s="23">
        <v>20</v>
      </c>
      <c r="B44" s="127"/>
      <c r="C44" s="128"/>
      <c r="D44" s="129"/>
      <c r="E44" s="130"/>
      <c r="F44" s="62">
        <v>1</v>
      </c>
      <c r="G44" s="52">
        <v>1.165</v>
      </c>
      <c r="H44" s="44">
        <f t="shared" si="0"/>
        <v>-0.18482541781331685</v>
      </c>
      <c r="I44" s="22">
        <f t="shared" si="1"/>
        <v>6.46</v>
      </c>
      <c r="J44" s="22" t="e">
        <f>ABS(I44-#REF!)</f>
        <v>#REF!</v>
      </c>
      <c r="K44" s="61"/>
    </row>
  </sheetData>
  <mergeCells count="67">
    <mergeCell ref="B37:C37"/>
    <mergeCell ref="D37:E37"/>
    <mergeCell ref="B36:C36"/>
    <mergeCell ref="D36:E36"/>
    <mergeCell ref="B35:C35"/>
    <mergeCell ref="D35:E35"/>
    <mergeCell ref="A1:D1"/>
    <mergeCell ref="E1:H1"/>
    <mergeCell ref="B43:C43"/>
    <mergeCell ref="D43:E43"/>
    <mergeCell ref="B42:C42"/>
    <mergeCell ref="D42:E42"/>
    <mergeCell ref="B40:C40"/>
    <mergeCell ref="D40:E40"/>
    <mergeCell ref="B38:C38"/>
    <mergeCell ref="D38:E38"/>
    <mergeCell ref="B34:C34"/>
    <mergeCell ref="D34:E34"/>
    <mergeCell ref="B33:C33"/>
    <mergeCell ref="D33:E33"/>
    <mergeCell ref="B32:C32"/>
    <mergeCell ref="D32:E32"/>
    <mergeCell ref="B44:C44"/>
    <mergeCell ref="D44:E44"/>
    <mergeCell ref="B41:C41"/>
    <mergeCell ref="D41:E41"/>
    <mergeCell ref="B39:C39"/>
    <mergeCell ref="D39:E39"/>
    <mergeCell ref="B31:C31"/>
    <mergeCell ref="D31:E31"/>
    <mergeCell ref="B30:C30"/>
    <mergeCell ref="D30:E30"/>
    <mergeCell ref="B29:C29"/>
    <mergeCell ref="D29:E29"/>
    <mergeCell ref="B28:C28"/>
    <mergeCell ref="D28:E28"/>
    <mergeCell ref="B27:C27"/>
    <mergeCell ref="D27:E27"/>
    <mergeCell ref="B25:C25"/>
    <mergeCell ref="D25:E25"/>
    <mergeCell ref="B26:C26"/>
    <mergeCell ref="D26:E26"/>
    <mergeCell ref="B23:C23"/>
    <mergeCell ref="D23:E23"/>
    <mergeCell ref="B21:C21"/>
    <mergeCell ref="D21:E21"/>
    <mergeCell ref="B24:C24"/>
    <mergeCell ref="D24:E24"/>
    <mergeCell ref="B22:C22"/>
    <mergeCell ref="D22:E22"/>
    <mergeCell ref="A4:B4"/>
    <mergeCell ref="C4:H4"/>
    <mergeCell ref="A5:B5"/>
    <mergeCell ref="C5:H5"/>
    <mergeCell ref="A6:B6"/>
    <mergeCell ref="C6:H6"/>
    <mergeCell ref="A7:B7"/>
    <mergeCell ref="C7:H7"/>
    <mergeCell ref="A9:C9"/>
    <mergeCell ref="D9:E9"/>
    <mergeCell ref="B20:C20"/>
    <mergeCell ref="D20:E20"/>
    <mergeCell ref="D10:E10"/>
    <mergeCell ref="D11:E11"/>
    <mergeCell ref="D12:E12"/>
    <mergeCell ref="D13:E13"/>
    <mergeCell ref="D14:E14"/>
  </mergeCells>
  <pageMargins left="0.7" right="0.7" top="0.32" bottom="0.32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D734-7F03-4CB0-80EF-435FAB5051D9}">
  <dimension ref="B1:B28"/>
  <sheetViews>
    <sheetView topLeftCell="A22" workbookViewId="0">
      <selection activeCell="B30" sqref="B30"/>
    </sheetView>
  </sheetViews>
  <sheetFormatPr defaultRowHeight="15" x14ac:dyDescent="0.25"/>
  <cols>
    <col min="2" max="2" width="98.42578125" customWidth="1"/>
    <col min="258" max="258" width="98.42578125" customWidth="1"/>
    <col min="514" max="514" width="98.42578125" customWidth="1"/>
    <col min="770" max="770" width="98.42578125" customWidth="1"/>
    <col min="1026" max="1026" width="98.42578125" customWidth="1"/>
    <col min="1282" max="1282" width="98.42578125" customWidth="1"/>
    <col min="1538" max="1538" width="98.42578125" customWidth="1"/>
    <col min="1794" max="1794" width="98.42578125" customWidth="1"/>
    <col min="2050" max="2050" width="98.42578125" customWidth="1"/>
    <col min="2306" max="2306" width="98.42578125" customWidth="1"/>
    <col min="2562" max="2562" width="98.42578125" customWidth="1"/>
    <col min="2818" max="2818" width="98.42578125" customWidth="1"/>
    <col min="3074" max="3074" width="98.42578125" customWidth="1"/>
    <col min="3330" max="3330" width="98.42578125" customWidth="1"/>
    <col min="3586" max="3586" width="98.42578125" customWidth="1"/>
    <col min="3842" max="3842" width="98.42578125" customWidth="1"/>
    <col min="4098" max="4098" width="98.42578125" customWidth="1"/>
    <col min="4354" max="4354" width="98.42578125" customWidth="1"/>
    <col min="4610" max="4610" width="98.42578125" customWidth="1"/>
    <col min="4866" max="4866" width="98.42578125" customWidth="1"/>
    <col min="5122" max="5122" width="98.42578125" customWidth="1"/>
    <col min="5378" max="5378" width="98.42578125" customWidth="1"/>
    <col min="5634" max="5634" width="98.42578125" customWidth="1"/>
    <col min="5890" max="5890" width="98.42578125" customWidth="1"/>
    <col min="6146" max="6146" width="98.42578125" customWidth="1"/>
    <col min="6402" max="6402" width="98.42578125" customWidth="1"/>
    <col min="6658" max="6658" width="98.42578125" customWidth="1"/>
    <col min="6914" max="6914" width="98.42578125" customWidth="1"/>
    <col min="7170" max="7170" width="98.42578125" customWidth="1"/>
    <col min="7426" max="7426" width="98.42578125" customWidth="1"/>
    <col min="7682" max="7682" width="98.42578125" customWidth="1"/>
    <col min="7938" max="7938" width="98.42578125" customWidth="1"/>
    <col min="8194" max="8194" width="98.42578125" customWidth="1"/>
    <col min="8450" max="8450" width="98.42578125" customWidth="1"/>
    <col min="8706" max="8706" width="98.42578125" customWidth="1"/>
    <col min="8962" max="8962" width="98.42578125" customWidth="1"/>
    <col min="9218" max="9218" width="98.42578125" customWidth="1"/>
    <col min="9474" max="9474" width="98.42578125" customWidth="1"/>
    <col min="9730" max="9730" width="98.42578125" customWidth="1"/>
    <col min="9986" max="9986" width="98.42578125" customWidth="1"/>
    <col min="10242" max="10242" width="98.42578125" customWidth="1"/>
    <col min="10498" max="10498" width="98.42578125" customWidth="1"/>
    <col min="10754" max="10754" width="98.42578125" customWidth="1"/>
    <col min="11010" max="11010" width="98.42578125" customWidth="1"/>
    <col min="11266" max="11266" width="98.42578125" customWidth="1"/>
    <col min="11522" max="11522" width="98.42578125" customWidth="1"/>
    <col min="11778" max="11778" width="98.42578125" customWidth="1"/>
    <col min="12034" max="12034" width="98.42578125" customWidth="1"/>
    <col min="12290" max="12290" width="98.42578125" customWidth="1"/>
    <col min="12546" max="12546" width="98.42578125" customWidth="1"/>
    <col min="12802" max="12802" width="98.42578125" customWidth="1"/>
    <col min="13058" max="13058" width="98.42578125" customWidth="1"/>
    <col min="13314" max="13314" width="98.42578125" customWidth="1"/>
    <col min="13570" max="13570" width="98.42578125" customWidth="1"/>
    <col min="13826" max="13826" width="98.42578125" customWidth="1"/>
    <col min="14082" max="14082" width="98.42578125" customWidth="1"/>
    <col min="14338" max="14338" width="98.42578125" customWidth="1"/>
    <col min="14594" max="14594" width="98.42578125" customWidth="1"/>
    <col min="14850" max="14850" width="98.42578125" customWidth="1"/>
    <col min="15106" max="15106" width="98.42578125" customWidth="1"/>
    <col min="15362" max="15362" width="98.42578125" customWidth="1"/>
    <col min="15618" max="15618" width="98.42578125" customWidth="1"/>
    <col min="15874" max="15874" width="98.42578125" customWidth="1"/>
    <col min="16130" max="16130" width="98.42578125" customWidth="1"/>
  </cols>
  <sheetData>
    <row r="1" spans="2:2" ht="21" x14ac:dyDescent="0.35">
      <c r="B1" s="83" t="s">
        <v>46</v>
      </c>
    </row>
    <row r="3" spans="2:2" ht="15.75" x14ac:dyDescent="0.25">
      <c r="B3" s="84" t="s">
        <v>47</v>
      </c>
    </row>
    <row r="4" spans="2:2" ht="60" x14ac:dyDescent="0.25">
      <c r="B4" s="85" t="s">
        <v>58</v>
      </c>
    </row>
    <row r="6" spans="2:2" ht="15.75" x14ac:dyDescent="0.25">
      <c r="B6" s="84" t="s">
        <v>48</v>
      </c>
    </row>
    <row r="7" spans="2:2" ht="30" x14ac:dyDescent="0.25">
      <c r="B7" s="85" t="s">
        <v>49</v>
      </c>
    </row>
    <row r="9" spans="2:2" ht="15.75" x14ac:dyDescent="0.25">
      <c r="B9" s="84" t="s">
        <v>50</v>
      </c>
    </row>
    <row r="10" spans="2:2" ht="30" x14ac:dyDescent="0.25">
      <c r="B10" s="85" t="s">
        <v>59</v>
      </c>
    </row>
    <row r="12" spans="2:2" ht="15.75" x14ac:dyDescent="0.25">
      <c r="B12" s="84" t="s">
        <v>51</v>
      </c>
    </row>
    <row r="13" spans="2:2" ht="30" x14ac:dyDescent="0.25">
      <c r="B13" s="85" t="s">
        <v>52</v>
      </c>
    </row>
    <row r="15" spans="2:2" ht="15.75" x14ac:dyDescent="0.25">
      <c r="B15" s="84" t="s">
        <v>53</v>
      </c>
    </row>
    <row r="16" spans="2:2" ht="90" x14ac:dyDescent="0.25">
      <c r="B16" s="85" t="s">
        <v>60</v>
      </c>
    </row>
    <row r="18" spans="2:2" ht="15.75" x14ac:dyDescent="0.25">
      <c r="B18" s="84" t="s">
        <v>9</v>
      </c>
    </row>
    <row r="19" spans="2:2" ht="176.25" customHeight="1" x14ac:dyDescent="0.25">
      <c r="B19" s="85" t="s">
        <v>61</v>
      </c>
    </row>
    <row r="21" spans="2:2" ht="15.75" x14ac:dyDescent="0.25">
      <c r="B21" s="84" t="s">
        <v>62</v>
      </c>
    </row>
    <row r="22" spans="2:2" ht="111" customHeight="1" x14ac:dyDescent="0.25">
      <c r="B22" s="85" t="s">
        <v>63</v>
      </c>
    </row>
    <row r="24" spans="2:2" ht="15.75" x14ac:dyDescent="0.25">
      <c r="B24" s="84" t="s">
        <v>54</v>
      </c>
    </row>
    <row r="25" spans="2:2" ht="161.25" customHeight="1" x14ac:dyDescent="0.25">
      <c r="B25" s="86" t="s">
        <v>64</v>
      </c>
    </row>
    <row r="27" spans="2:2" ht="15.75" x14ac:dyDescent="0.25">
      <c r="B27" s="84" t="s">
        <v>55</v>
      </c>
    </row>
    <row r="28" spans="2:2" ht="45" x14ac:dyDescent="0.25">
      <c r="B28" s="8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измерения</vt:lpstr>
      <vt:lpstr>1 измерение</vt:lpstr>
      <vt:lpstr>Инструкция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КомПродСервис</cp:lastModifiedBy>
  <cp:lastPrinted>2022-02-17T12:56:58Z</cp:lastPrinted>
  <dcterms:created xsi:type="dcterms:W3CDTF">2021-04-20T08:31:45Z</dcterms:created>
  <dcterms:modified xsi:type="dcterms:W3CDTF">2022-09-22T10:00:57Z</dcterms:modified>
</cp:coreProperties>
</file>